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'Лист1'!$A$1:$D$139</definedName>
  </definedNames>
  <calcPr fullCalcOnLoad="1" fullPrecision="0"/>
</workbook>
</file>

<file path=xl/sharedStrings.xml><?xml version="1.0" encoding="utf-8"?>
<sst xmlns="http://schemas.openxmlformats.org/spreadsheetml/2006/main" count="121" uniqueCount="78">
  <si>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</si>
  <si>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</si>
  <si>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</si>
  <si>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</si>
  <si>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</si>
  <si>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</si>
  <si>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</si>
  <si>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</si>
  <si>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</si>
  <si>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</si>
  <si>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</si>
  <si>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</si>
  <si>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</si>
  <si>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</si>
  <si>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</si>
  <si>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</si>
  <si>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</si>
  <si>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</si>
  <si>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</si>
  <si>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</si>
  <si>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</si>
  <si>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</si>
  <si>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</si>
  <si>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</si>
  <si>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</si>
  <si>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</si>
  <si>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</si>
  <si>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</si>
  <si>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</si>
  <si>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</si>
  <si>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</si>
  <si>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</si>
  <si>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</si>
  <si>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</si>
  <si>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</si>
  <si>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</si>
  <si>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</si>
  <si>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</si>
  <si>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</si>
  <si>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</si>
  <si>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</si>
  <si>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</si>
  <si>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</si>
  <si>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</si>
  <si>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</si>
  <si>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</si>
  <si>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</si>
  <si>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</si>
  <si>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</si>
  <si>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</si>
  <si>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</si>
  <si>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</si>
  <si>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</si>
  <si>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</si>
  <si>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</si>
  <si>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</si>
  <si>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</si>
  <si>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</si>
  <si>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</si>
  <si>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</si>
  <si>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</si>
  <si>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</si>
  <si>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</si>
  <si>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</si>
  <si>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</si>
  <si>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</si>
  <si>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</si>
  <si>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</si>
  <si>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</si>
  <si>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</si>
  <si>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5. Прочие поступления от использования имущества</t>
  </si>
  <si>
    <t xml:space="preserve"> - поступления от денежных пожертвований</t>
  </si>
  <si>
    <t>Пяозерского городского поселения за 9 месяцев 2020г.</t>
  </si>
  <si>
    <t>План на 9 месяцев 2020 года</t>
  </si>
  <si>
    <t>Кассовое исполнение за 9 месяцев 2020 года</t>
  </si>
  <si>
    <t>Исполнение плана за 9 месяцев 2020 года, %</t>
  </si>
  <si>
    <t>от " 01   " декабря 2020года</t>
  </si>
  <si>
    <t>к решению  ХХIII сессии 4  созыва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</si>
</sst>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  <numFmt numFmtId="169" formatCode="#,##0.000"/>
    <numFmt numFmtId="170" formatCode="#,##0.0000"/>
    <numFmt numFmtId="171" formatCode="#,##0.00000"/>
    <numFmt numFmtId="172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4" fontId="4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51" fillId="0" borderId="10" xfId="0" applyNumberFormat="1" applyFont="1" applyBorder="1" applyAlignment="1">
      <alignment horizontal="center"/>
    </xf>
    <xf numFmtId="169" fontId="47" fillId="0" borderId="10" xfId="0" applyNumberFormat="1" applyFont="1" applyBorder="1" applyAlignment="1">
      <alignment horizontal="center"/>
    </xf>
    <xf numFmtId="169" fontId="51" fillId="0" borderId="10" xfId="0" applyNumberFormat="1" applyFont="1" applyBorder="1" applyAlignment="1">
      <alignment horizontal="center"/>
    </xf>
    <xf numFmtId="171" fontId="47" fillId="0" borderId="10" xfId="0" applyNumberFormat="1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169" fontId="53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4" fontId="5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88" zoomScaleSheetLayoutView="88" zoomScalePageLayoutView="0" workbookViewId="0" topLeftCell="A54">
      <selection activeCell="B6" sqref="B6"/>
    </sheetView>
  </sheetViews>
  <sheetFormatPr defaultColWidth="8.8515625" defaultRowHeight="15"/>
  <cols>
    <col min="1" max="1" width="60.42187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hidden="1" customWidth="1"/>
    <col min="6" max="6" width="8.8515625" style="1" hidden="1" customWidth="1"/>
    <col min="7" max="16384" width="8.8515625" style="1" customWidth="1"/>
  </cols>
  <sheetData>
    <row r="2" ht="13.5">
      <c r="C2" s="41" t="s">
        <v>33</v>
      </c>
    </row>
    <row r="3" ht="13.5">
      <c r="C3" s="41" t="s">
        <v>77</v>
      </c>
    </row>
    <row r="4" ht="13.5">
      <c r="C4" s="41" t="s">
        <v>32</v>
      </c>
    </row>
    <row r="5" ht="13.5">
      <c r="C5" s="41" t="s">
        <v>76</v>
      </c>
    </row>
    <row r="6" ht="13.5">
      <c r="C6" s="23"/>
    </row>
    <row r="7" ht="13.5">
      <c r="C7" s="23"/>
    </row>
    <row r="8" spans="1:4" ht="13.5">
      <c r="A8" s="78" t="s">
        <v>21</v>
      </c>
      <c r="B8" s="78"/>
      <c r="C8" s="78"/>
      <c r="D8" s="78"/>
    </row>
    <row r="9" spans="1:4" ht="13.5">
      <c r="A9" s="78" t="s">
        <v>72</v>
      </c>
      <c r="B9" s="78"/>
      <c r="C9" s="78"/>
      <c r="D9" s="78"/>
    </row>
    <row r="11" ht="13.5">
      <c r="D11" s="3" t="s">
        <v>11</v>
      </c>
    </row>
    <row r="12" spans="1:4" s="2" customFormat="1" ht="42">
      <c r="A12" s="4" t="s">
        <v>0</v>
      </c>
      <c r="B12" s="5" t="s">
        <v>73</v>
      </c>
      <c r="C12" s="5" t="s">
        <v>74</v>
      </c>
      <c r="D12" s="5" t="s">
        <v>75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67">
        <f>1164.47+885.5+788.835</f>
        <v>2838.805</v>
      </c>
      <c r="C14" s="9">
        <v>1452</v>
      </c>
      <c r="D14" s="9">
        <f>C14/B14*100</f>
        <v>51.1</v>
      </c>
    </row>
    <row r="15" spans="1:4" ht="13.5">
      <c r="A15" s="7" t="s">
        <v>2</v>
      </c>
      <c r="B15" s="67">
        <f>B16+B17</f>
        <v>1766.95</v>
      </c>
      <c r="C15" s="8">
        <f>C16+C17</f>
        <v>282.4</v>
      </c>
      <c r="D15" s="9">
        <f aca="true" t="shared" si="0" ref="D15:D42">C15/B15*100</f>
        <v>16</v>
      </c>
    </row>
    <row r="16" spans="1:4" ht="13.5">
      <c r="A16" s="7" t="s">
        <v>26</v>
      </c>
      <c r="B16" s="67">
        <f>48.5+78.3+48.6</f>
        <v>175.4</v>
      </c>
      <c r="C16" s="8">
        <v>134.7</v>
      </c>
      <c r="D16" s="21">
        <f t="shared" si="0"/>
        <v>76.8</v>
      </c>
    </row>
    <row r="17" spans="1:4" ht="13.5">
      <c r="A17" s="7" t="s">
        <v>3</v>
      </c>
      <c r="B17" s="67">
        <f>426.7+737.65+427.2</f>
        <v>1591.55</v>
      </c>
      <c r="C17" s="8">
        <v>147.7</v>
      </c>
      <c r="D17" s="9">
        <f t="shared" si="0"/>
        <v>9.3</v>
      </c>
    </row>
    <row r="18" spans="1:4" ht="13.5">
      <c r="A18" s="7" t="s">
        <v>49</v>
      </c>
      <c r="B18" s="67">
        <f>154.8+225.2+155.4</f>
        <v>535.4</v>
      </c>
      <c r="C18" s="8">
        <v>409.7</v>
      </c>
      <c r="D18" s="9">
        <f>C18/B18*100</f>
        <v>76.5</v>
      </c>
    </row>
    <row r="19" spans="1:4" s="27" customFormat="1" ht="13.5">
      <c r="A19" s="14" t="s">
        <v>67</v>
      </c>
      <c r="B19" s="68">
        <f>B14+B15+B18</f>
        <v>5141.155</v>
      </c>
      <c r="C19" s="20">
        <f>C14+C15+C18</f>
        <v>2144.1</v>
      </c>
      <c r="D19" s="20">
        <f>C19/B19*100</f>
        <v>41.7</v>
      </c>
    </row>
    <row r="20" spans="1:4" ht="27.75">
      <c r="A20" s="10" t="s">
        <v>44</v>
      </c>
      <c r="B20" s="11">
        <f>B21+B22</f>
        <v>526</v>
      </c>
      <c r="C20" s="11">
        <f>C21+C22</f>
        <v>362.8</v>
      </c>
      <c r="D20" s="12">
        <f t="shared" si="0"/>
        <v>69</v>
      </c>
    </row>
    <row r="21" spans="1:4" ht="13.5">
      <c r="A21" s="7" t="s">
        <v>4</v>
      </c>
      <c r="B21" s="8">
        <f>26+0+0</f>
        <v>26</v>
      </c>
      <c r="C21" s="8">
        <v>24.4</v>
      </c>
      <c r="D21" s="21">
        <f t="shared" si="0"/>
        <v>93.8</v>
      </c>
    </row>
    <row r="22" spans="1:4" ht="13.5">
      <c r="A22" s="7" t="s">
        <v>5</v>
      </c>
      <c r="B22" s="8">
        <f>500+0+0</f>
        <v>500</v>
      </c>
      <c r="C22" s="8">
        <v>338.4</v>
      </c>
      <c r="D22" s="21">
        <f t="shared" si="0"/>
        <v>67.7</v>
      </c>
    </row>
    <row r="23" spans="1:4" ht="13.5" hidden="1">
      <c r="A23" s="7" t="s">
        <v>51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52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53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50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70</v>
      </c>
      <c r="B27" s="11">
        <f>207+211+206</f>
        <v>624</v>
      </c>
      <c r="C27" s="11">
        <v>625.8</v>
      </c>
      <c r="D27" s="38">
        <f>C27/B27*100</f>
        <v>100.3</v>
      </c>
    </row>
    <row r="28" spans="1:4" s="27" customFormat="1" ht="13.5">
      <c r="A28" s="14" t="s">
        <v>68</v>
      </c>
      <c r="B28" s="20">
        <f>B20+B27</f>
        <v>1150</v>
      </c>
      <c r="C28" s="20">
        <f>C20+C27</f>
        <v>988.6</v>
      </c>
      <c r="D28" s="20">
        <f t="shared" si="0"/>
        <v>86</v>
      </c>
    </row>
    <row r="29" spans="1:4" s="27" customFormat="1" ht="13.5">
      <c r="A29" s="25" t="s">
        <v>47</v>
      </c>
      <c r="B29" s="20">
        <f>B30+B31+B32+B33+B34+B35+B36+B37+B38+B41</f>
        <v>5095.6</v>
      </c>
      <c r="C29" s="20">
        <f>C30+C31+C32+C33+C34+C35+C36+C37+C38+C41</f>
        <v>3294.4</v>
      </c>
      <c r="D29" s="20">
        <f t="shared" si="0"/>
        <v>64.7</v>
      </c>
    </row>
    <row r="30" spans="1:4" ht="13.5">
      <c r="A30" s="7" t="s">
        <v>6</v>
      </c>
      <c r="B30" s="9">
        <f>586.5+681.5+586.5</f>
        <v>1854.5</v>
      </c>
      <c r="C30" s="9">
        <v>1758</v>
      </c>
      <c r="D30" s="9">
        <f t="shared" si="0"/>
        <v>94.8</v>
      </c>
    </row>
    <row r="31" spans="1:4" ht="13.5">
      <c r="A31" s="7" t="s">
        <v>7</v>
      </c>
      <c r="B31" s="9">
        <f>169.9+0+0</f>
        <v>169.9</v>
      </c>
      <c r="C31" s="8">
        <v>127.9</v>
      </c>
      <c r="D31" s="9">
        <f t="shared" si="0"/>
        <v>75.3</v>
      </c>
    </row>
    <row r="32" spans="1:4" ht="13.5">
      <c r="A32" s="7" t="s">
        <v>8</v>
      </c>
      <c r="B32" s="9">
        <f>0+0+(315.2+2087.5)</f>
        <v>2402.7</v>
      </c>
      <c r="C32" s="8">
        <v>735.8</v>
      </c>
      <c r="D32" s="21">
        <f t="shared" si="0"/>
        <v>30.6</v>
      </c>
    </row>
    <row r="33" spans="1:4" ht="13.5" hidden="1">
      <c r="A33" s="7" t="s">
        <v>34</v>
      </c>
      <c r="B33" s="9"/>
      <c r="C33" s="8"/>
      <c r="D33" s="21" t="e">
        <f t="shared" si="0"/>
        <v>#DIV/0!</v>
      </c>
    </row>
    <row r="34" spans="1:4" ht="13.5" hidden="1">
      <c r="A34" s="7" t="s">
        <v>27</v>
      </c>
      <c r="B34" s="9"/>
      <c r="C34" s="8"/>
      <c r="D34" s="21" t="e">
        <f t="shared" si="0"/>
        <v>#DIV/0!</v>
      </c>
    </row>
    <row r="35" spans="1:4" ht="13.5" hidden="1">
      <c r="A35" s="7" t="s">
        <v>55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56</v>
      </c>
      <c r="B36" s="9">
        <f>120+154+362</f>
        <v>636</v>
      </c>
      <c r="C36" s="8">
        <v>636</v>
      </c>
      <c r="D36" s="21">
        <f t="shared" si="0"/>
        <v>100</v>
      </c>
    </row>
    <row r="37" spans="1:4" ht="12.75" customHeight="1" hidden="1">
      <c r="A37" s="7" t="s">
        <v>46</v>
      </c>
      <c r="B37" s="8"/>
      <c r="C37" s="8"/>
      <c r="D37" s="13" t="e">
        <f t="shared" si="0"/>
        <v>#DIV/0!</v>
      </c>
    </row>
    <row r="38" spans="1:4" ht="13.5">
      <c r="A38" s="7" t="s">
        <v>71</v>
      </c>
      <c r="B38" s="8">
        <f>0+0+(8+24.5)</f>
        <v>32.5</v>
      </c>
      <c r="C38" s="8">
        <v>36.7</v>
      </c>
      <c r="D38" s="21">
        <f t="shared" si="0"/>
        <v>112.9</v>
      </c>
    </row>
    <row r="39" spans="1:4" ht="13.5" hidden="1">
      <c r="A39" s="10" t="s">
        <v>45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48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8">
        <f>B19+B28+B29+B39+B40</f>
        <v>11386.755</v>
      </c>
      <c r="C42" s="20">
        <f>C19+C28+C29+C39+C40</f>
        <v>6427.1</v>
      </c>
      <c r="D42" s="20">
        <f t="shared" si="0"/>
        <v>56.4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70">
        <f>SUM(B45:B58)</f>
        <v>2667.43</v>
      </c>
      <c r="C44" s="26">
        <f>SUM(C45:C58)</f>
        <v>2125.3</v>
      </c>
      <c r="D44" s="20">
        <f aca="true" t="shared" si="1" ref="D44:D137">C44/B44*100</f>
        <v>79.7</v>
      </c>
      <c r="E44" s="75">
        <f>C44/C117*100</f>
        <v>33.3</v>
      </c>
      <c r="F44" s="27">
        <v>38.7</v>
      </c>
    </row>
    <row r="45" spans="1:5" ht="13.5">
      <c r="A45" s="7" t="s">
        <v>14</v>
      </c>
      <c r="B45" s="69">
        <f>(255+371)+(178.6+348.528)+(175+285.594)</f>
        <v>1613.722</v>
      </c>
      <c r="C45" s="35">
        <v>1473</v>
      </c>
      <c r="D45" s="9">
        <f t="shared" si="1"/>
        <v>91.3</v>
      </c>
      <c r="E45" s="75"/>
    </row>
    <row r="46" spans="1:5" s="36" customFormat="1" ht="13.5" hidden="1">
      <c r="A46" s="28" t="s">
        <v>64</v>
      </c>
      <c r="B46" s="66">
        <f>0+0+0</f>
        <v>0</v>
      </c>
      <c r="C46" s="35">
        <v>0</v>
      </c>
      <c r="D46" s="21" t="e">
        <f t="shared" si="1"/>
        <v>#DIV/0!</v>
      </c>
      <c r="E46" s="76"/>
    </row>
    <row r="47" spans="1:5" ht="13.5">
      <c r="A47" s="7" t="s">
        <v>61</v>
      </c>
      <c r="B47" s="65">
        <f>(77+112.05)+(54+105.7)+(52.8+87.28)</f>
        <v>488.83</v>
      </c>
      <c r="C47" s="35">
        <v>438.8</v>
      </c>
      <c r="D47" s="9">
        <f t="shared" si="1"/>
        <v>89.8</v>
      </c>
      <c r="E47" s="75"/>
    </row>
    <row r="48" spans="1:5" ht="13.5">
      <c r="A48" s="33" t="s">
        <v>66</v>
      </c>
      <c r="B48" s="65">
        <f>15.5+9.5+5</f>
        <v>30</v>
      </c>
      <c r="C48" s="35">
        <v>19.9</v>
      </c>
      <c r="D48" s="9">
        <f t="shared" si="1"/>
        <v>66.3</v>
      </c>
      <c r="E48" s="75"/>
    </row>
    <row r="49" spans="1:5" ht="13.5">
      <c r="A49" s="33" t="s">
        <v>37</v>
      </c>
      <c r="B49" s="65">
        <f>20+14+13</f>
        <v>47</v>
      </c>
      <c r="C49" s="24">
        <v>38.2</v>
      </c>
      <c r="D49" s="9">
        <f t="shared" si="1"/>
        <v>81.3</v>
      </c>
      <c r="E49" s="75"/>
    </row>
    <row r="50" spans="1:5" ht="13.5" hidden="1">
      <c r="A50" s="28" t="s">
        <v>38</v>
      </c>
      <c r="B50" s="65">
        <f>3.6+3.6+2.4</f>
        <v>9.6</v>
      </c>
      <c r="C50" s="24">
        <v>8.4</v>
      </c>
      <c r="D50" s="9">
        <f t="shared" si="1"/>
        <v>87.5</v>
      </c>
      <c r="E50" s="75"/>
    </row>
    <row r="51" spans="1:5" ht="13.5">
      <c r="A51" s="7" t="s">
        <v>15</v>
      </c>
      <c r="B51" s="65">
        <f>(45+33)+(16.5+26.5+17)+0</f>
        <v>138</v>
      </c>
      <c r="C51" s="35">
        <v>91.9</v>
      </c>
      <c r="D51" s="9">
        <f t="shared" si="1"/>
        <v>66.6</v>
      </c>
      <c r="E51" s="75"/>
    </row>
    <row r="52" spans="1:5" ht="13.5">
      <c r="A52" s="7" t="s">
        <v>62</v>
      </c>
      <c r="B52" s="65">
        <f>(6+6.6)+(4+0)+(4+0)</f>
        <v>20.6</v>
      </c>
      <c r="C52" s="24">
        <v>13.8</v>
      </c>
      <c r="D52" s="9">
        <f t="shared" si="1"/>
        <v>67</v>
      </c>
      <c r="E52" s="75"/>
    </row>
    <row r="53" spans="1:5" ht="13.5">
      <c r="A53" s="33" t="s">
        <v>63</v>
      </c>
      <c r="B53" s="65">
        <f>(1+5.22+15)+(1+9.95+48)+(0+7.03+100)</f>
        <v>187.2</v>
      </c>
      <c r="C53" s="24">
        <v>19.3</v>
      </c>
      <c r="D53" s="9">
        <f t="shared" si="1"/>
        <v>10.3</v>
      </c>
      <c r="E53" s="75"/>
    </row>
    <row r="54" spans="1:5" ht="12.75" customHeight="1">
      <c r="A54" s="33" t="s">
        <v>69</v>
      </c>
      <c r="B54" s="65">
        <f>(0+74.6)+(7.5+0)+(7.5+0)</f>
        <v>89.6</v>
      </c>
      <c r="C54" s="24">
        <v>0</v>
      </c>
      <c r="D54" s="9">
        <f t="shared" si="1"/>
        <v>0</v>
      </c>
      <c r="E54" s="75"/>
    </row>
    <row r="55" spans="1:5" ht="13.5" hidden="1">
      <c r="A55" s="28" t="s">
        <v>40</v>
      </c>
      <c r="B55" s="65">
        <f>0+0+0</f>
        <v>0</v>
      </c>
      <c r="C55" s="24">
        <v>0</v>
      </c>
      <c r="D55" s="9" t="e">
        <f t="shared" si="1"/>
        <v>#DIV/0!</v>
      </c>
      <c r="E55" s="75"/>
    </row>
    <row r="56" spans="1:5" s="36" customFormat="1" ht="13.5" hidden="1">
      <c r="A56" s="33" t="s">
        <v>54</v>
      </c>
      <c r="B56" s="66">
        <f>0+26.5-26.5</f>
        <v>0</v>
      </c>
      <c r="C56" s="35">
        <v>0</v>
      </c>
      <c r="D56" s="21" t="e">
        <f t="shared" si="1"/>
        <v>#DIV/0!</v>
      </c>
      <c r="E56" s="76"/>
    </row>
    <row r="57" spans="1:5" ht="13.5">
      <c r="A57" s="33" t="s">
        <v>41</v>
      </c>
      <c r="B57" s="65">
        <f>(7.5+2+1.5)+(22+0+0)+(5+0+0)</f>
        <v>38</v>
      </c>
      <c r="C57" s="24">
        <v>17.1</v>
      </c>
      <c r="D57" s="21">
        <f t="shared" si="1"/>
        <v>45</v>
      </c>
      <c r="E57" s="75"/>
    </row>
    <row r="58" spans="1:5" ht="13.5" hidden="1">
      <c r="A58" s="28" t="s">
        <v>65</v>
      </c>
      <c r="B58" s="69">
        <f>0+1.472+3.406</f>
        <v>4.878</v>
      </c>
      <c r="C58" s="65">
        <v>4.9</v>
      </c>
      <c r="D58" s="21">
        <f t="shared" si="1"/>
        <v>100.5</v>
      </c>
      <c r="E58" s="75"/>
    </row>
    <row r="59" spans="1:6" s="27" customFormat="1" ht="13.5">
      <c r="A59" s="25" t="s">
        <v>18</v>
      </c>
      <c r="B59" s="26">
        <f>SUM(B60:B72)</f>
        <v>167.9</v>
      </c>
      <c r="C59" s="26">
        <f>SUM(C60:C72)</f>
        <v>121.7</v>
      </c>
      <c r="D59" s="20">
        <f t="shared" si="1"/>
        <v>72.5</v>
      </c>
      <c r="E59" s="75">
        <f>C59/C117*100</f>
        <v>1.9</v>
      </c>
      <c r="F59" s="27">
        <v>2.2</v>
      </c>
    </row>
    <row r="60" spans="1:5" ht="13.5">
      <c r="A60" s="7" t="s">
        <v>14</v>
      </c>
      <c r="B60" s="24">
        <v>123.4</v>
      </c>
      <c r="C60" s="24">
        <v>89.3</v>
      </c>
      <c r="D60" s="9">
        <f t="shared" si="1"/>
        <v>72.4</v>
      </c>
      <c r="E60" s="75"/>
    </row>
    <row r="61" spans="1:5" ht="13.5" hidden="1">
      <c r="A61" s="28" t="s">
        <v>35</v>
      </c>
      <c r="B61" s="24">
        <f>0</f>
        <v>0</v>
      </c>
      <c r="C61" s="24">
        <v>0</v>
      </c>
      <c r="D61" s="9" t="e">
        <f t="shared" si="1"/>
        <v>#DIV/0!</v>
      </c>
      <c r="E61" s="75"/>
    </row>
    <row r="62" spans="1:5" ht="13.5">
      <c r="A62" s="7" t="s">
        <v>61</v>
      </c>
      <c r="B62" s="24">
        <f>37.5</f>
        <v>37.5</v>
      </c>
      <c r="C62" s="24">
        <v>27</v>
      </c>
      <c r="D62" s="9">
        <f t="shared" si="1"/>
        <v>72</v>
      </c>
      <c r="E62" s="75"/>
    </row>
    <row r="63" spans="1:5" ht="13.5" customHeight="1" hidden="1">
      <c r="A63" s="28" t="s">
        <v>37</v>
      </c>
      <c r="B63" s="24">
        <f>0</f>
        <v>0</v>
      </c>
      <c r="C63" s="24">
        <v>0</v>
      </c>
      <c r="D63" s="9" t="e">
        <f t="shared" si="1"/>
        <v>#DIV/0!</v>
      </c>
      <c r="E63" s="75"/>
    </row>
    <row r="64" spans="1:5" ht="13.5" customHeight="1" hidden="1">
      <c r="A64" s="28" t="s">
        <v>38</v>
      </c>
      <c r="B64" s="24">
        <v>0</v>
      </c>
      <c r="C64" s="24">
        <v>0</v>
      </c>
      <c r="D64" s="9" t="e">
        <f t="shared" si="1"/>
        <v>#DIV/0!</v>
      </c>
      <c r="E64" s="75"/>
    </row>
    <row r="65" spans="1:5" ht="13.5" customHeight="1">
      <c r="A65" s="7" t="s">
        <v>15</v>
      </c>
      <c r="B65" s="24">
        <f>5.1</f>
        <v>5.1</v>
      </c>
      <c r="C65" s="24">
        <v>4.5</v>
      </c>
      <c r="D65" s="9">
        <f t="shared" si="1"/>
        <v>88.2</v>
      </c>
      <c r="E65" s="75"/>
    </row>
    <row r="66" spans="1:5" ht="13.5" customHeight="1" hidden="1">
      <c r="A66" s="28" t="s">
        <v>62</v>
      </c>
      <c r="B66" s="24">
        <f>0</f>
        <v>0</v>
      </c>
      <c r="C66" s="24">
        <v>0</v>
      </c>
      <c r="D66" s="9" t="e">
        <f t="shared" si="1"/>
        <v>#DIV/0!</v>
      </c>
      <c r="E66" s="75"/>
    </row>
    <row r="67" spans="1:5" ht="13.5" customHeight="1" hidden="1">
      <c r="A67" s="28" t="s">
        <v>63</v>
      </c>
      <c r="B67" s="24">
        <f>1</f>
        <v>1</v>
      </c>
      <c r="C67" s="24">
        <v>0</v>
      </c>
      <c r="D67" s="9">
        <f t="shared" si="1"/>
        <v>0</v>
      </c>
      <c r="E67" s="75"/>
    </row>
    <row r="68" spans="1:5" ht="13.5" customHeight="1" hidden="1">
      <c r="A68" s="28" t="s">
        <v>39</v>
      </c>
      <c r="B68" s="24">
        <v>0</v>
      </c>
      <c r="C68" s="24">
        <v>0</v>
      </c>
      <c r="D68" s="9" t="e">
        <f t="shared" si="1"/>
        <v>#DIV/0!</v>
      </c>
      <c r="E68" s="75"/>
    </row>
    <row r="69" spans="1:5" ht="13.5" customHeight="1" hidden="1">
      <c r="A69" s="28" t="s">
        <v>65</v>
      </c>
      <c r="B69" s="24">
        <v>0.9</v>
      </c>
      <c r="C69" s="24">
        <v>0.9</v>
      </c>
      <c r="D69" s="9">
        <f t="shared" si="1"/>
        <v>100</v>
      </c>
      <c r="E69" s="75"/>
    </row>
    <row r="70" spans="1:5" ht="13.5" customHeight="1" hidden="1">
      <c r="A70" s="28" t="s">
        <v>40</v>
      </c>
      <c r="B70" s="24">
        <f>0</f>
        <v>0</v>
      </c>
      <c r="C70" s="24">
        <v>0</v>
      </c>
      <c r="D70" s="9" t="e">
        <f t="shared" si="1"/>
        <v>#DIV/0!</v>
      </c>
      <c r="E70" s="75"/>
    </row>
    <row r="71" spans="1:5" ht="13.5" customHeight="1" hidden="1">
      <c r="A71" s="28" t="s">
        <v>54</v>
      </c>
      <c r="B71" s="24">
        <v>0</v>
      </c>
      <c r="C71" s="24">
        <v>0</v>
      </c>
      <c r="D71" s="9" t="e">
        <f t="shared" si="1"/>
        <v>#DIV/0!</v>
      </c>
      <c r="E71" s="75"/>
    </row>
    <row r="72" spans="1:5" ht="13.5" customHeight="1" hidden="1">
      <c r="A72" s="28" t="s">
        <v>41</v>
      </c>
      <c r="B72" s="24">
        <f>0</f>
        <v>0</v>
      </c>
      <c r="C72" s="24">
        <v>0</v>
      </c>
      <c r="D72" s="9" t="e">
        <f t="shared" si="1"/>
        <v>#DIV/0!</v>
      </c>
      <c r="E72" s="75"/>
    </row>
    <row r="73" spans="1:6" s="27" customFormat="1" ht="13.5">
      <c r="A73" s="25" t="s">
        <v>17</v>
      </c>
      <c r="B73" s="26">
        <f>SUM(B74:B80)</f>
        <v>125</v>
      </c>
      <c r="C73" s="42">
        <f>SUM(C74:C80)</f>
        <v>7.1</v>
      </c>
      <c r="D73" s="20">
        <f t="shared" si="1"/>
        <v>5.7</v>
      </c>
      <c r="E73" s="75">
        <f>C73/C117*100</f>
        <v>0.1</v>
      </c>
      <c r="F73" s="27">
        <v>0.2</v>
      </c>
    </row>
    <row r="74" spans="1:5" s="27" customFormat="1" ht="13.5" hidden="1">
      <c r="A74" s="7">
        <v>222</v>
      </c>
      <c r="B74" s="24">
        <f>0</f>
        <v>0</v>
      </c>
      <c r="C74" s="24">
        <v>0</v>
      </c>
      <c r="D74" s="9" t="e">
        <f t="shared" si="1"/>
        <v>#DIV/0!</v>
      </c>
      <c r="E74" s="75"/>
    </row>
    <row r="75" spans="1:5" s="27" customFormat="1" ht="13.5" hidden="1">
      <c r="A75" s="7">
        <v>225</v>
      </c>
      <c r="B75" s="24">
        <f>6.5+5.5+0</f>
        <v>12</v>
      </c>
      <c r="C75" s="24">
        <v>4.9</v>
      </c>
      <c r="D75" s="9">
        <f t="shared" si="1"/>
        <v>40.8</v>
      </c>
      <c r="E75" s="75"/>
    </row>
    <row r="76" spans="1:5" s="27" customFormat="1" ht="13.5" hidden="1">
      <c r="A76" s="7">
        <v>226</v>
      </c>
      <c r="B76" s="24">
        <f>(6+0)+(0+0.5)+(64+0)</f>
        <v>70.5</v>
      </c>
      <c r="C76" s="24">
        <v>2.2</v>
      </c>
      <c r="D76" s="9">
        <f t="shared" si="1"/>
        <v>3.1</v>
      </c>
      <c r="E76" s="75"/>
    </row>
    <row r="77" spans="1:5" s="27" customFormat="1" ht="13.5" hidden="1">
      <c r="A77" s="7">
        <v>251</v>
      </c>
      <c r="B77" s="24">
        <v>0</v>
      </c>
      <c r="C77" s="24">
        <v>0</v>
      </c>
      <c r="D77" s="9" t="e">
        <f>C77/B77*100</f>
        <v>#DIV/0!</v>
      </c>
      <c r="E77" s="75"/>
    </row>
    <row r="78" spans="1:5" s="27" customFormat="1" ht="13.5" hidden="1">
      <c r="A78" s="7">
        <v>290</v>
      </c>
      <c r="B78" s="24">
        <v>0</v>
      </c>
      <c r="C78" s="24">
        <v>0</v>
      </c>
      <c r="D78" s="9" t="e">
        <f t="shared" si="1"/>
        <v>#DIV/0!</v>
      </c>
      <c r="E78" s="75"/>
    </row>
    <row r="79" spans="1:5" s="27" customFormat="1" ht="13.5" hidden="1">
      <c r="A79" s="7">
        <v>310</v>
      </c>
      <c r="B79" s="24">
        <f>0+0+30</f>
        <v>30</v>
      </c>
      <c r="C79" s="24">
        <v>0</v>
      </c>
      <c r="D79" s="9"/>
      <c r="E79" s="75"/>
    </row>
    <row r="80" spans="1:5" s="27" customFormat="1" ht="13.5" hidden="1">
      <c r="A80" s="7">
        <v>340</v>
      </c>
      <c r="B80" s="24">
        <f>(0+0+5)+(7+0+0)+(0+0.5+0)</f>
        <v>12.5</v>
      </c>
      <c r="C80" s="24">
        <v>0</v>
      </c>
      <c r="D80" s="9">
        <f t="shared" si="1"/>
        <v>0</v>
      </c>
      <c r="E80" s="75"/>
    </row>
    <row r="81" spans="1:6" s="27" customFormat="1" ht="13.5">
      <c r="A81" s="25" t="s">
        <v>22</v>
      </c>
      <c r="B81" s="26">
        <f>SUM(B82:B84)</f>
        <v>1473</v>
      </c>
      <c r="C81" s="26">
        <f>SUM(C82:C84)</f>
        <v>402.6</v>
      </c>
      <c r="D81" s="20">
        <f t="shared" si="1"/>
        <v>27.3</v>
      </c>
      <c r="E81" s="75">
        <f>C81/C117*100</f>
        <v>6.3</v>
      </c>
      <c r="F81" s="27">
        <v>10.1</v>
      </c>
    </row>
    <row r="82" spans="1:5" s="27" customFormat="1" ht="13.5">
      <c r="A82" s="7" t="s">
        <v>62</v>
      </c>
      <c r="B82" s="24">
        <f>300+250+150</f>
        <v>700</v>
      </c>
      <c r="C82" s="24">
        <v>275.5</v>
      </c>
      <c r="D82" s="9">
        <f t="shared" si="1"/>
        <v>39.4</v>
      </c>
      <c r="E82" s="75"/>
    </row>
    <row r="83" spans="1:5" s="27" customFormat="1" ht="13.5">
      <c r="A83" s="33" t="s">
        <v>63</v>
      </c>
      <c r="B83" s="24">
        <f>(200+0)+(100+263)+(193+0)</f>
        <v>756</v>
      </c>
      <c r="C83" s="24">
        <v>110.9</v>
      </c>
      <c r="D83" s="9">
        <f t="shared" si="1"/>
        <v>14.7</v>
      </c>
      <c r="E83" s="75"/>
    </row>
    <row r="84" spans="1:5" ht="13.5" hidden="1">
      <c r="A84" s="7">
        <v>340</v>
      </c>
      <c r="B84" s="24">
        <f>0+0+17</f>
        <v>17</v>
      </c>
      <c r="C84" s="24">
        <v>16.2</v>
      </c>
      <c r="D84" s="9"/>
      <c r="E84" s="77"/>
    </row>
    <row r="85" spans="1:6" s="27" customFormat="1" ht="13.5">
      <c r="A85" s="25" t="s">
        <v>57</v>
      </c>
      <c r="B85" s="70">
        <f>SUM(B86:B91)</f>
        <v>2741.725</v>
      </c>
      <c r="C85" s="26">
        <f>SUM(C86:C91)</f>
        <v>646.2</v>
      </c>
      <c r="D85" s="20">
        <f t="shared" si="1"/>
        <v>23.6</v>
      </c>
      <c r="E85" s="75">
        <f>C85/C117*100</f>
        <v>10.1</v>
      </c>
      <c r="F85" s="27">
        <v>9.1</v>
      </c>
    </row>
    <row r="86" spans="1:5" ht="13.5" hidden="1">
      <c r="A86" s="28" t="s">
        <v>15</v>
      </c>
      <c r="B86" s="24"/>
      <c r="C86" s="24"/>
      <c r="D86" s="9" t="e">
        <f t="shared" si="1"/>
        <v>#DIV/0!</v>
      </c>
      <c r="E86" s="75"/>
    </row>
    <row r="87" spans="1:5" ht="13.5">
      <c r="A87" s="7" t="s">
        <v>62</v>
      </c>
      <c r="B87" s="24">
        <f>(207+0+17.8+42)+(206+85+52.2+38)+(206+22.5+60)</f>
        <v>936.5</v>
      </c>
      <c r="C87" s="24">
        <v>569.3</v>
      </c>
      <c r="D87" s="9">
        <f t="shared" si="1"/>
        <v>60.8</v>
      </c>
      <c r="E87" s="75"/>
    </row>
    <row r="88" spans="1:5" ht="13.5">
      <c r="A88" s="33" t="s">
        <v>63</v>
      </c>
      <c r="B88" s="24">
        <f>(0+0+5.2+3+0+0+0)+(37+0+9.8+2+0+0+0)+(700+39+163.588+487.5+315.2+18.912)</f>
        <v>1781.2</v>
      </c>
      <c r="C88" s="24">
        <v>64</v>
      </c>
      <c r="D88" s="9">
        <f t="shared" si="1"/>
        <v>3.6</v>
      </c>
      <c r="E88" s="75"/>
    </row>
    <row r="89" spans="1:5" ht="13.5" hidden="1">
      <c r="A89" s="28" t="s">
        <v>40</v>
      </c>
      <c r="B89" s="69">
        <f>2+0+0.025</f>
        <v>2.025</v>
      </c>
      <c r="C89" s="24">
        <v>2</v>
      </c>
      <c r="D89" s="9">
        <f t="shared" si="1"/>
        <v>98.8</v>
      </c>
      <c r="E89" s="75"/>
    </row>
    <row r="90" spans="1:5" s="36" customFormat="1" ht="13.5">
      <c r="A90" s="33" t="s">
        <v>54</v>
      </c>
      <c r="B90" s="35">
        <f>0+11+0</f>
        <v>11</v>
      </c>
      <c r="C90" s="35">
        <v>10.9</v>
      </c>
      <c r="D90" s="21">
        <f t="shared" si="1"/>
        <v>99.1</v>
      </c>
      <c r="E90" s="76"/>
    </row>
    <row r="91" spans="1:5" s="36" customFormat="1" ht="13.5">
      <c r="A91" s="33" t="s">
        <v>41</v>
      </c>
      <c r="B91" s="35">
        <f>0+(5+0.5+0+2)+3.5</f>
        <v>11</v>
      </c>
      <c r="C91" s="35">
        <v>0</v>
      </c>
      <c r="D91" s="21">
        <f t="shared" si="1"/>
        <v>0</v>
      </c>
      <c r="E91" s="75"/>
    </row>
    <row r="92" spans="1:5" s="27" customFormat="1" ht="13.5">
      <c r="A92" s="25" t="s">
        <v>23</v>
      </c>
      <c r="B92" s="26">
        <f>SUM(B93)</f>
        <v>0</v>
      </c>
      <c r="C92" s="26">
        <f>SUM(C93)</f>
        <v>0</v>
      </c>
      <c r="D92" s="40" t="e">
        <f t="shared" si="1"/>
        <v>#DIV/0!</v>
      </c>
      <c r="E92" s="75"/>
    </row>
    <row r="93" spans="1:5" ht="13.5">
      <c r="A93" s="7">
        <v>340</v>
      </c>
      <c r="B93" s="24">
        <f>6+6-12</f>
        <v>0</v>
      </c>
      <c r="C93" s="24">
        <v>0</v>
      </c>
      <c r="D93" s="21"/>
      <c r="E93" s="75"/>
    </row>
    <row r="94" spans="1:6" s="27" customFormat="1" ht="13.5">
      <c r="A94" s="37" t="s">
        <v>58</v>
      </c>
      <c r="B94" s="30">
        <f>SUM(B95:B107)</f>
        <v>4258.7</v>
      </c>
      <c r="C94" s="30">
        <f>SUM(C95:C107)</f>
        <v>3029.6</v>
      </c>
      <c r="D94" s="31">
        <f t="shared" si="1"/>
        <v>71.1</v>
      </c>
      <c r="E94" s="75">
        <f>C94/C117*100</f>
        <v>47.4</v>
      </c>
      <c r="F94" s="27">
        <v>38.8</v>
      </c>
    </row>
    <row r="95" spans="1:5" ht="13.5" hidden="1">
      <c r="A95" s="28" t="s">
        <v>14</v>
      </c>
      <c r="B95" s="24">
        <v>0</v>
      </c>
      <c r="C95" s="24"/>
      <c r="D95" s="9" t="e">
        <f t="shared" si="1"/>
        <v>#DIV/0!</v>
      </c>
      <c r="E95" s="75"/>
    </row>
    <row r="96" spans="1:5" ht="13.5" hidden="1">
      <c r="A96" s="28" t="s">
        <v>66</v>
      </c>
      <c r="B96" s="24">
        <f>5+5+20</f>
        <v>30</v>
      </c>
      <c r="C96" s="24">
        <v>8.5</v>
      </c>
      <c r="D96" s="9">
        <f t="shared" si="1"/>
        <v>28.3</v>
      </c>
      <c r="E96" s="75"/>
    </row>
    <row r="97" spans="1:5" ht="13.5" hidden="1">
      <c r="A97" s="28" t="s">
        <v>36</v>
      </c>
      <c r="B97" s="24">
        <v>0</v>
      </c>
      <c r="C97" s="24"/>
      <c r="D97" s="9" t="e">
        <f t="shared" si="1"/>
        <v>#DIV/0!</v>
      </c>
      <c r="E97" s="75"/>
    </row>
    <row r="98" spans="1:5" ht="13.5" hidden="1">
      <c r="A98" s="28" t="s">
        <v>37</v>
      </c>
      <c r="B98" s="24">
        <v>0</v>
      </c>
      <c r="C98" s="24"/>
      <c r="D98" s="9" t="e">
        <f t="shared" si="1"/>
        <v>#DIV/0!</v>
      </c>
      <c r="E98" s="75"/>
    </row>
    <row r="99" spans="1:5" ht="13.5" hidden="1">
      <c r="A99" s="28" t="s">
        <v>38</v>
      </c>
      <c r="B99" s="24">
        <v>0</v>
      </c>
      <c r="C99" s="24"/>
      <c r="D99" s="9" t="e">
        <f t="shared" si="1"/>
        <v>#DIV/0!</v>
      </c>
      <c r="E99" s="75"/>
    </row>
    <row r="100" spans="1:5" ht="13.5" hidden="1">
      <c r="A100" s="28" t="s">
        <v>15</v>
      </c>
      <c r="B100" s="24">
        <v>0</v>
      </c>
      <c r="C100" s="24"/>
      <c r="D100" s="9" t="e">
        <f t="shared" si="1"/>
        <v>#DIV/0!</v>
      </c>
      <c r="E100" s="75"/>
    </row>
    <row r="101" spans="1:5" ht="13.5" hidden="1">
      <c r="A101" s="28" t="s">
        <v>62</v>
      </c>
      <c r="B101" s="71">
        <f>6.12448+605.42401</f>
        <v>611.54849</v>
      </c>
      <c r="C101" s="24">
        <v>593.8</v>
      </c>
      <c r="D101" s="9">
        <f t="shared" si="1"/>
        <v>97.1</v>
      </c>
      <c r="E101" s="75"/>
    </row>
    <row r="102" spans="1:5" ht="13.5" hidden="1">
      <c r="A102" s="28" t="s">
        <v>63</v>
      </c>
      <c r="B102" s="71">
        <f>0.167+16.533</f>
        <v>16.7</v>
      </c>
      <c r="C102" s="24">
        <v>16.7</v>
      </c>
      <c r="D102" s="9">
        <f t="shared" si="1"/>
        <v>100</v>
      </c>
      <c r="E102" s="75"/>
    </row>
    <row r="103" spans="1:5" ht="13.5" hidden="1">
      <c r="A103" s="28" t="s">
        <v>42</v>
      </c>
      <c r="B103" s="24">
        <f>(1350.7+120)+(855.4+154)+(727.5+112)</f>
        <v>3319.6</v>
      </c>
      <c r="C103" s="24">
        <v>2318.9</v>
      </c>
      <c r="D103" s="9"/>
      <c r="E103" s="75"/>
    </row>
    <row r="104" spans="1:5" ht="13.5" hidden="1">
      <c r="A104" s="28" t="s">
        <v>39</v>
      </c>
      <c r="B104" s="24">
        <v>0</v>
      </c>
      <c r="C104" s="24"/>
      <c r="D104" s="9" t="e">
        <f t="shared" si="1"/>
        <v>#DIV/0!</v>
      </c>
      <c r="E104" s="75"/>
    </row>
    <row r="105" spans="1:5" ht="13.5" hidden="1">
      <c r="A105" s="28" t="s">
        <v>40</v>
      </c>
      <c r="B105" s="24">
        <v>0</v>
      </c>
      <c r="C105" s="24"/>
      <c r="D105" s="9" t="e">
        <f t="shared" si="1"/>
        <v>#DIV/0!</v>
      </c>
      <c r="E105" s="75"/>
    </row>
    <row r="106" spans="1:5" ht="13.5" hidden="1">
      <c r="A106" s="28" t="s">
        <v>16</v>
      </c>
      <c r="B106" s="72">
        <f>2.22261+220.0383</f>
        <v>222.26091</v>
      </c>
      <c r="C106" s="24">
        <v>33.1</v>
      </c>
      <c r="D106" s="9">
        <f t="shared" si="1"/>
        <v>14.9</v>
      </c>
      <c r="E106" s="75"/>
    </row>
    <row r="107" spans="1:5" ht="13.5" hidden="1">
      <c r="A107" s="28" t="s">
        <v>41</v>
      </c>
      <c r="B107" s="71">
        <f>0.58591+58.00469</f>
        <v>58.5906</v>
      </c>
      <c r="C107" s="24">
        <v>58.6</v>
      </c>
      <c r="D107" s="9">
        <f t="shared" si="1"/>
        <v>100</v>
      </c>
      <c r="E107" s="75"/>
    </row>
    <row r="108" spans="1:5" s="27" customFormat="1" ht="13.5">
      <c r="A108" s="25" t="s">
        <v>24</v>
      </c>
      <c r="B108" s="26">
        <f>B109+B110+B111</f>
        <v>6</v>
      </c>
      <c r="C108" s="26">
        <f>C109+C110+C111</f>
        <v>5.2</v>
      </c>
      <c r="D108" s="29">
        <f t="shared" si="1"/>
        <v>86.7</v>
      </c>
      <c r="E108" s="75">
        <f>C108/C117*100</f>
        <v>0.1</v>
      </c>
    </row>
    <row r="109" spans="1:5" s="27" customFormat="1" ht="13.5" hidden="1">
      <c r="A109" s="7">
        <v>222</v>
      </c>
      <c r="B109" s="24">
        <v>0</v>
      </c>
      <c r="C109" s="24">
        <v>0</v>
      </c>
      <c r="D109" s="21" t="e">
        <f t="shared" si="1"/>
        <v>#DIV/0!</v>
      </c>
      <c r="E109" s="75"/>
    </row>
    <row r="110" spans="1:5" s="27" customFormat="1" ht="13.5" hidden="1">
      <c r="A110" s="7">
        <v>226</v>
      </c>
      <c r="B110" s="24">
        <v>6</v>
      </c>
      <c r="C110" s="24">
        <v>5.2</v>
      </c>
      <c r="D110" s="21">
        <f t="shared" si="1"/>
        <v>86.7</v>
      </c>
      <c r="E110" s="75"/>
    </row>
    <row r="111" spans="1:5" s="27" customFormat="1" ht="13.5" hidden="1">
      <c r="A111" s="7">
        <v>340</v>
      </c>
      <c r="B111" s="24">
        <v>0</v>
      </c>
      <c r="C111" s="24">
        <v>0</v>
      </c>
      <c r="D111" s="21" t="e">
        <f t="shared" si="1"/>
        <v>#DIV/0!</v>
      </c>
      <c r="E111" s="75"/>
    </row>
    <row r="112" spans="1:6" ht="13.5">
      <c r="A112" s="25" t="s">
        <v>25</v>
      </c>
      <c r="B112" s="26">
        <f>B113</f>
        <v>49.3</v>
      </c>
      <c r="C112" s="26">
        <f>C113</f>
        <v>49.2</v>
      </c>
      <c r="D112" s="29">
        <f t="shared" si="1"/>
        <v>99.8</v>
      </c>
      <c r="E112" s="75">
        <f>C112/C117*100</f>
        <v>0.8</v>
      </c>
      <c r="F112" s="1">
        <v>0.9</v>
      </c>
    </row>
    <row r="113" spans="1:5" ht="13.5" hidden="1">
      <c r="A113" s="7" t="s">
        <v>59</v>
      </c>
      <c r="B113" s="24">
        <f>16.5+16.4+16.4</f>
        <v>49.3</v>
      </c>
      <c r="C113" s="24">
        <v>49.2</v>
      </c>
      <c r="D113" s="29">
        <f t="shared" si="1"/>
        <v>99.8</v>
      </c>
      <c r="E113" s="77"/>
    </row>
    <row r="114" spans="1:5" ht="13.5" hidden="1">
      <c r="A114" s="7" t="s">
        <v>28</v>
      </c>
      <c r="B114" s="24">
        <v>0</v>
      </c>
      <c r="C114" s="24">
        <v>0</v>
      </c>
      <c r="D114" s="9" t="e">
        <f t="shared" si="1"/>
        <v>#DIV/0!</v>
      </c>
      <c r="E114" s="77"/>
    </row>
    <row r="115" spans="1:5" ht="13.5" hidden="1">
      <c r="A115" s="7">
        <v>222</v>
      </c>
      <c r="B115" s="24">
        <f>0</f>
        <v>0</v>
      </c>
      <c r="C115" s="24">
        <v>0</v>
      </c>
      <c r="D115" s="9" t="e">
        <f t="shared" si="1"/>
        <v>#DIV/0!</v>
      </c>
      <c r="E115" s="77"/>
    </row>
    <row r="116" spans="1:5" ht="13.5" hidden="1">
      <c r="A116" s="7">
        <v>340</v>
      </c>
      <c r="B116" s="24">
        <v>0</v>
      </c>
      <c r="C116" s="24">
        <v>0</v>
      </c>
      <c r="D116" s="9" t="e">
        <f t="shared" si="1"/>
        <v>#DIV/0!</v>
      </c>
      <c r="E116" s="77"/>
    </row>
    <row r="117" spans="1:5" ht="13.5">
      <c r="A117" s="14" t="s">
        <v>19</v>
      </c>
      <c r="B117" s="70">
        <f>B44+B59+B73+B81+B85+B92+B94+B108+B112+B114</f>
        <v>11489.055</v>
      </c>
      <c r="C117" s="26">
        <f>C44+C59+C73+C81+C85+C92+C94+C108+C112+C114</f>
        <v>6386.9</v>
      </c>
      <c r="D117" s="20">
        <f t="shared" si="1"/>
        <v>55.6</v>
      </c>
      <c r="E117" s="77">
        <f>SUM(E44:E112)</f>
        <v>100</v>
      </c>
    </row>
    <row r="118" spans="1:4" ht="13.5">
      <c r="A118" s="16" t="s">
        <v>20</v>
      </c>
      <c r="B118" s="32"/>
      <c r="C118" s="32"/>
      <c r="D118" s="9"/>
    </row>
    <row r="119" spans="1:4" ht="13.5">
      <c r="A119" s="7" t="s">
        <v>14</v>
      </c>
      <c r="B119" s="69">
        <f aca="true" t="shared" si="2" ref="B119:C121">B45+B60+B95</f>
        <v>1737.122</v>
      </c>
      <c r="C119" s="24">
        <f t="shared" si="2"/>
        <v>1562.3</v>
      </c>
      <c r="D119" s="9">
        <f t="shared" si="1"/>
        <v>89.9</v>
      </c>
    </row>
    <row r="120" spans="1:4" s="45" customFormat="1" ht="13.5" customHeight="1" hidden="1">
      <c r="A120" s="28" t="s">
        <v>64</v>
      </c>
      <c r="B120" s="73">
        <f>B46+B61</f>
        <v>0</v>
      </c>
      <c r="C120" s="43">
        <f>C46+C61</f>
        <v>0</v>
      </c>
      <c r="D120" s="44" t="e">
        <f t="shared" si="1"/>
        <v>#DIV/0!</v>
      </c>
    </row>
    <row r="121" spans="1:4" ht="13.5" customHeight="1">
      <c r="A121" s="7" t="s">
        <v>61</v>
      </c>
      <c r="B121" s="65">
        <f t="shared" si="2"/>
        <v>526.33</v>
      </c>
      <c r="C121" s="24">
        <f t="shared" si="2"/>
        <v>465.8</v>
      </c>
      <c r="D121" s="9">
        <f t="shared" si="1"/>
        <v>88.5</v>
      </c>
    </row>
    <row r="122" spans="1:4" ht="13.5" customHeight="1">
      <c r="A122" s="33" t="s">
        <v>66</v>
      </c>
      <c r="B122" s="24">
        <f>B48+B96</f>
        <v>60</v>
      </c>
      <c r="C122" s="24">
        <f>C48+C96</f>
        <v>28.4</v>
      </c>
      <c r="D122" s="9"/>
    </row>
    <row r="123" spans="1:4" ht="13.5" customHeight="1">
      <c r="A123" s="33" t="s">
        <v>37</v>
      </c>
      <c r="B123" s="24">
        <f>B49+B63+B98</f>
        <v>47</v>
      </c>
      <c r="C123" s="24">
        <f>C49+C63+C98</f>
        <v>38.2</v>
      </c>
      <c r="D123" s="9">
        <f t="shared" si="1"/>
        <v>81.3</v>
      </c>
    </row>
    <row r="124" spans="1:4" ht="13.5" customHeight="1" hidden="1">
      <c r="A124" s="28" t="s">
        <v>38</v>
      </c>
      <c r="B124" s="24">
        <f>B50+B64+B74+B99+B115+B109</f>
        <v>9.6</v>
      </c>
      <c r="C124" s="24">
        <f>C50+C64+C74+C99+C115+C109</f>
        <v>8.4</v>
      </c>
      <c r="D124" s="9">
        <f t="shared" si="1"/>
        <v>87.5</v>
      </c>
    </row>
    <row r="125" spans="1:4" ht="13.5" customHeight="1">
      <c r="A125" s="7" t="s">
        <v>15</v>
      </c>
      <c r="B125" s="24">
        <f>B51+B65+B86+B100</f>
        <v>143.1</v>
      </c>
      <c r="C125" s="24">
        <f>C51+C65+C86+C100</f>
        <v>96.4</v>
      </c>
      <c r="D125" s="9">
        <f t="shared" si="1"/>
        <v>67.4</v>
      </c>
    </row>
    <row r="126" spans="1:4" ht="13.5" customHeight="1">
      <c r="A126" s="7" t="s">
        <v>62</v>
      </c>
      <c r="B126" s="69">
        <f>B52+B66+B75+B87+B101+B82</f>
        <v>2280.648</v>
      </c>
      <c r="C126" s="24">
        <f>C52+C66+C75+C87+C101+C82</f>
        <v>1457.3</v>
      </c>
      <c r="D126" s="9">
        <f t="shared" si="1"/>
        <v>63.9</v>
      </c>
    </row>
    <row r="127" spans="1:4" ht="13.5" customHeight="1">
      <c r="A127" s="33" t="s">
        <v>63</v>
      </c>
      <c r="B127" s="24">
        <f>B53+B67+B76+B83+B88+B102+B110</f>
        <v>2818.6</v>
      </c>
      <c r="C127" s="24">
        <f>C53+C67+C76+C83+C88+C102+C110</f>
        <v>218.3</v>
      </c>
      <c r="D127" s="9">
        <f t="shared" si="1"/>
        <v>7.7</v>
      </c>
    </row>
    <row r="128" spans="1:4" ht="27.75">
      <c r="A128" s="34" t="s">
        <v>43</v>
      </c>
      <c r="B128" s="39">
        <f>B103</f>
        <v>3319.6</v>
      </c>
      <c r="C128" s="39">
        <f>C103</f>
        <v>2318.9</v>
      </c>
      <c r="D128" s="12">
        <f t="shared" si="1"/>
        <v>69.9</v>
      </c>
    </row>
    <row r="129" spans="1:4" ht="13.5" customHeight="1">
      <c r="A129" s="33" t="s">
        <v>69</v>
      </c>
      <c r="B129" s="24">
        <f>B54+B77+B104</f>
        <v>89.6</v>
      </c>
      <c r="C129" s="24">
        <f>C54+C77+C104</f>
        <v>0</v>
      </c>
      <c r="D129" s="9">
        <f t="shared" si="1"/>
        <v>0</v>
      </c>
    </row>
    <row r="130" spans="1:4" ht="13.5" customHeight="1" hidden="1">
      <c r="A130" s="28" t="s">
        <v>40</v>
      </c>
      <c r="B130" s="69">
        <f>B55+B70+B78+B89+B105</f>
        <v>2.025</v>
      </c>
      <c r="C130" s="24">
        <f>C55+C70+C78+C89+C105</f>
        <v>2</v>
      </c>
      <c r="D130" s="9">
        <f t="shared" si="1"/>
        <v>98.8</v>
      </c>
    </row>
    <row r="131" spans="1:4" s="36" customFormat="1" ht="13.5" customHeight="1">
      <c r="A131" s="33" t="s">
        <v>54</v>
      </c>
      <c r="B131" s="74">
        <f>B56+B71+B79+B90+B106</f>
        <v>263.261</v>
      </c>
      <c r="C131" s="35">
        <f>C56+C71+C79+C90+C106</f>
        <v>44</v>
      </c>
      <c r="D131" s="21">
        <f t="shared" si="1"/>
        <v>16.7</v>
      </c>
    </row>
    <row r="132" spans="1:4" ht="13.5" customHeight="1">
      <c r="A132" s="33" t="s">
        <v>41</v>
      </c>
      <c r="B132" s="69">
        <f>B57+B72+B80+B84+B91+B93+B107+B111+B116</f>
        <v>137.091</v>
      </c>
      <c r="C132" s="24">
        <f>C57+C72+C80+C84+C91+C93+C107+C111+C116</f>
        <v>91.9</v>
      </c>
      <c r="D132" s="9">
        <f t="shared" si="1"/>
        <v>67</v>
      </c>
    </row>
    <row r="133" spans="1:4" ht="13.5" customHeight="1" hidden="1">
      <c r="A133" s="28" t="s">
        <v>65</v>
      </c>
      <c r="B133" s="69">
        <f>B58+B69</f>
        <v>5.778</v>
      </c>
      <c r="C133" s="24">
        <f>C58+C69</f>
        <v>5.8</v>
      </c>
      <c r="D133" s="9">
        <f t="shared" si="1"/>
        <v>100.4</v>
      </c>
    </row>
    <row r="134" spans="1:4" ht="25.5" customHeight="1">
      <c r="A134" s="34" t="s">
        <v>60</v>
      </c>
      <c r="B134" s="24">
        <f>B113</f>
        <v>49.3</v>
      </c>
      <c r="C134" s="24">
        <f>C113</f>
        <v>49.2</v>
      </c>
      <c r="D134" s="9"/>
    </row>
    <row r="135" spans="1:4" ht="13.5" customHeight="1">
      <c r="A135" s="7" t="s">
        <v>29</v>
      </c>
      <c r="B135" s="8">
        <v>5</v>
      </c>
      <c r="C135" s="8">
        <v>5</v>
      </c>
      <c r="D135" s="9">
        <f t="shared" si="1"/>
        <v>100</v>
      </c>
    </row>
    <row r="136" spans="1:4" ht="13.5" customHeight="1">
      <c r="A136" s="7" t="s">
        <v>30</v>
      </c>
      <c r="B136" s="8">
        <v>0.4</v>
      </c>
      <c r="C136" s="8">
        <v>0.4</v>
      </c>
      <c r="D136" s="9">
        <f t="shared" si="1"/>
        <v>100</v>
      </c>
    </row>
    <row r="137" spans="1:4" ht="13.5" customHeight="1">
      <c r="A137" s="7" t="s">
        <v>31</v>
      </c>
      <c r="B137" s="8">
        <v>5</v>
      </c>
      <c r="C137" s="8">
        <v>5</v>
      </c>
      <c r="D137" s="9">
        <f t="shared" si="1"/>
        <v>100</v>
      </c>
    </row>
    <row r="139" spans="1:4" ht="13.5">
      <c r="A139" s="78"/>
      <c r="B139" s="78"/>
      <c r="C139" s="78"/>
      <c r="D139" s="78"/>
    </row>
  </sheetData>
  <sheetProtection/>
  <mergeCells count="3">
    <mergeCell ref="A8:D8"/>
    <mergeCell ref="A9:D9"/>
    <mergeCell ref="A139:D139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67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140625" defaultRowHeight="15"/>
  <cols>
    <col min="1" max="5" width="13.140625" style="17" customWidth="1"/>
    <col min="6" max="6" width="13.140625" style="46" customWidth="1"/>
    <col min="7" max="16384" width="13.140625" style="17" customWidth="1"/>
  </cols>
  <sheetData>
    <row r="1" spans="1:4" ht="13.5">
      <c r="A1" s="79"/>
      <c r="B1" s="79"/>
      <c r="C1" s="79"/>
      <c r="D1" s="79"/>
    </row>
    <row r="2" spans="1:4" ht="13.5">
      <c r="A2" s="79"/>
      <c r="B2" s="79"/>
      <c r="C2" s="79"/>
      <c r="D2" s="79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79"/>
      <c r="B67" s="79"/>
      <c r="C67" s="79"/>
      <c r="D67" s="79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2020-12-07T07:40:13Z</dcterms:modified>
  <cp:category/>
  <cp:version/>
  <cp:contentType/>
  <cp:contentStatus/>
</cp:coreProperties>
</file>