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2120" windowHeight="75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<sst xmlns="http://schemas.openxmlformats.org/spreadsheetml/2006/main" count="168" uniqueCount="86">
  <si>
    <t>Показатели</t>
  </si>
  <si>
    <t>1. Налог на доходы физических лиц</t>
  </si>
  <si>
    <t>2. Налоги на имущество, в том числе:</t>
  </si>
  <si>
    <t xml:space="preserve"> - налог на имущество физических лиц</t>
  </si>
  <si>
    <t xml:space="preserve"> - земельный налог</t>
  </si>
  <si>
    <t>3. Доходы от использованияимущества, находящегося в муниципальной собственности, в том числе:</t>
  </si>
  <si>
    <t xml:space="preserve"> - арендная плата за землю</t>
  </si>
  <si>
    <t xml:space="preserve"> - доходы от сдачи в аренду имущества</t>
  </si>
  <si>
    <t>4. Невыясненные поступления</t>
  </si>
  <si>
    <t>Итого доходов:</t>
  </si>
  <si>
    <t>5. Безвозмездные поступления, в том числе:</t>
  </si>
  <si>
    <t xml:space="preserve"> - дотации из бюджета Республики Карелия</t>
  </si>
  <si>
    <t xml:space="preserve"> - субвенции из бюджета Республики Карелия</t>
  </si>
  <si>
    <t xml:space="preserve"> - субсидии из бюджета Республики Карелия</t>
  </si>
  <si>
    <t>ДОХОДЫ</t>
  </si>
  <si>
    <t>ВСЕГО ДОХОДОВ:</t>
  </si>
  <si>
    <t>(тыс.руб.)</t>
  </si>
  <si>
    <t>РАСХОДЫ</t>
  </si>
  <si>
    <t>1. Общегосударственные вопросы, в том числе:</t>
  </si>
  <si>
    <t xml:space="preserve"> - заработная плата</t>
  </si>
  <si>
    <t xml:space="preserve"> - начисления на заработную плату</t>
  </si>
  <si>
    <t xml:space="preserve"> - коммунальные услуги</t>
  </si>
  <si>
    <t xml:space="preserve"> - увеличение стоимсти основных средств</t>
  </si>
  <si>
    <t xml:space="preserve"> - услуги по содержанию имущества</t>
  </si>
  <si>
    <t>3. Национальная безопасность и правоохранительная деятельность</t>
  </si>
  <si>
    <t>2. Национальная оборона, в том числе:</t>
  </si>
  <si>
    <t xml:space="preserve"> - безвозмездные и безвозвратные перечисления организациям</t>
  </si>
  <si>
    <t>ВСЕГО РАСХОДОВ:</t>
  </si>
  <si>
    <t xml:space="preserve">   в том числе:</t>
  </si>
  <si>
    <t>Общие итоги исполнения бюджета</t>
  </si>
  <si>
    <t>Ведущий специалист                                            И.В.Рулёва</t>
  </si>
  <si>
    <t>6. Доходы от предпринимательской и иной приносящей доход деятельности</t>
  </si>
  <si>
    <t>–</t>
  </si>
  <si>
    <t>5. Доходы от продажи земельных участков</t>
  </si>
  <si>
    <t>Пяозерского городского поселения за I квартал 2009г.</t>
  </si>
  <si>
    <t>План на I квартал 2009 год</t>
  </si>
  <si>
    <t>Кассовое исполнение за I квартал 2009 год</t>
  </si>
  <si>
    <t>Исполнение плана за I квартал 2009 г., %</t>
  </si>
  <si>
    <t>4. Национальная экономика</t>
  </si>
  <si>
    <t>5. Жилищно-коммунальное хозяйство</t>
  </si>
  <si>
    <t>6. Образование</t>
  </si>
  <si>
    <t>7. Культура, кинематография и средства массовой информации, в том числе:</t>
  </si>
  <si>
    <t>8. Здравоохранение и спорт</t>
  </si>
  <si>
    <t>9. Социальная политика</t>
  </si>
  <si>
    <t>10. Межбюджетные трансферты</t>
  </si>
  <si>
    <t>Кассовое исполнение за I квартал 2008 год</t>
  </si>
  <si>
    <t xml:space="preserve"> I кв. 2009г к  I кв. 2008г., %</t>
  </si>
  <si>
    <t xml:space="preserve"> - налог на имущество</t>
  </si>
  <si>
    <t xml:space="preserve"> - межбюджетные трансферты</t>
  </si>
  <si>
    <t xml:space="preserve"> - прочие безвозмездные поступления</t>
  </si>
  <si>
    <t>8. Социальная политика</t>
  </si>
  <si>
    <t>9. Межбюджетные трансферты</t>
  </si>
  <si>
    <t>Численность муниципальных служащих</t>
  </si>
  <si>
    <t>Численность работников не являющихся муниципальными служащими</t>
  </si>
  <si>
    <t>Численность работников муниципальных учреждений</t>
  </si>
  <si>
    <t>Пяозерского городского поселения</t>
  </si>
  <si>
    <t>Приложение 1</t>
  </si>
  <si>
    <t xml:space="preserve"> - прочие субсидии</t>
  </si>
  <si>
    <t xml:space="preserve"> - прочие выплаты</t>
  </si>
  <si>
    <t xml:space="preserve"> - начисления на оплату труда</t>
  </si>
  <si>
    <t xml:space="preserve"> - услуги связи</t>
  </si>
  <si>
    <t xml:space="preserve"> - транспортные услуги</t>
  </si>
  <si>
    <t xml:space="preserve"> - прочие услуги</t>
  </si>
  <si>
    <t xml:space="preserve"> - ст.251</t>
  </si>
  <si>
    <t xml:space="preserve"> - прочие расходы</t>
  </si>
  <si>
    <t xml:space="preserve"> - увеличение стоимсти материальных запасов</t>
  </si>
  <si>
    <t xml:space="preserve"> - увеличение стоимости материальных запасов</t>
  </si>
  <si>
    <t xml:space="preserve"> - ст.241</t>
  </si>
  <si>
    <t xml:space="preserve"> - безвозмездные перечисления государственным и муниципальным организациям</t>
  </si>
  <si>
    <t>3. Государственная пошлина</t>
  </si>
  <si>
    <t>4. Доходы от использованияимущества, находящегося в муниципальной собственности, в том числе:</t>
  </si>
  <si>
    <t>6. Прочие неналоговые доходы</t>
  </si>
  <si>
    <t>7. Доходы от оказания платных услуг</t>
  </si>
  <si>
    <t xml:space="preserve"> - иные межбюджетные трансферты</t>
  </si>
  <si>
    <t>8. Безвозмездные поступления, в том числе:</t>
  </si>
  <si>
    <t>4. Жилищно-коммунальное хозяйство, в том числе:</t>
  </si>
  <si>
    <t>5. Образование</t>
  </si>
  <si>
    <t>7. Здравоохранение и спорт</t>
  </si>
  <si>
    <t>6. Культура, кинематография и средства массовой информации</t>
  </si>
  <si>
    <t xml:space="preserve"> - Возврат неиспользованных остатков прочих субсидий прошлых лет </t>
  </si>
  <si>
    <t>План на 9 месяцев 2013 год</t>
  </si>
  <si>
    <t>Кассовое исполнение за 9 месяцев 2013 год</t>
  </si>
  <si>
    <t>Исполнение плана за 9 месяцев 2013 г., %</t>
  </si>
  <si>
    <t>Пяозерского городского поселения за 9 месяцев 2013г.</t>
  </si>
  <si>
    <t>к решению  18   IV сессии III  Созыва Совета</t>
  </si>
  <si>
    <t>от 27 ноября 2013года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</si>
</sst>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right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164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right"/>
    </xf>
    <xf numFmtId="0" fontId="47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164" fontId="46" fillId="0" borderId="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164" fontId="51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164" fontId="2" fillId="0" borderId="10" xfId="0" applyNumberFormat="1" applyFont="1" applyBorder="1" applyAlignment="1">
      <alignment horizontal="center"/>
    </xf>
    <xf numFmtId="164" fontId="46" fillId="0" borderId="0" xfId="0" applyNumberFormat="1" applyFont="1" applyAlignment="1">
      <alignment/>
    </xf>
    <xf numFmtId="0" fontId="46" fillId="0" borderId="11" xfId="0" applyFont="1" applyBorder="1" applyAlignment="1">
      <alignment horizontal="center" vertical="top" wrapText="1"/>
    </xf>
    <xf numFmtId="164" fontId="46" fillId="0" borderId="10" xfId="0" applyNumberFormat="1" applyFont="1" applyBorder="1" applyAlignment="1">
      <alignment horizontal="center" vertical="top"/>
    </xf>
    <xf numFmtId="0" fontId="46" fillId="0" borderId="10" xfId="0" applyNumberFormat="1" applyFont="1" applyBorder="1" applyAlignment="1">
      <alignment horizontal="center" vertical="top" wrapText="1"/>
    </xf>
    <xf numFmtId="164" fontId="48" fillId="0" borderId="1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left"/>
    </xf>
    <xf numFmtId="166" fontId="46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166" fontId="51" fillId="0" borderId="10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54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6" fontId="51" fillId="0" borderId="10" xfId="0" applyNumberFormat="1" applyFont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/>
    </xf>
    <xf numFmtId="166" fontId="46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1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22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8.8515625" defaultRowHeight="15"/>
  <cols>
    <col min="1" max="1" width="60.28125" style="1" bestFit="1" customWidth="1"/>
    <col min="2" max="2" width="17.421875" style="1" customWidth="1"/>
    <col min="3" max="3" width="19.421875" style="1" customWidth="1"/>
    <col min="4" max="4" width="22.00390625" style="1" customWidth="1"/>
    <col min="5" max="16384" width="8.8515625" style="1" customWidth="1"/>
  </cols>
  <sheetData>
    <row r="2" ht="15">
      <c r="C2" s="44" t="s">
        <v>56</v>
      </c>
    </row>
    <row r="3" ht="15">
      <c r="C3" s="44" t="s">
        <v>84</v>
      </c>
    </row>
    <row r="4" ht="15">
      <c r="C4" s="44" t="s">
        <v>55</v>
      </c>
    </row>
    <row r="5" ht="15">
      <c r="C5" s="44" t="s">
        <v>85</v>
      </c>
    </row>
    <row r="6" ht="15">
      <c r="C6" s="30"/>
    </row>
    <row r="7" ht="15">
      <c r="C7" s="30"/>
    </row>
    <row r="8" spans="1:4" ht="15">
      <c r="A8" s="47" t="s">
        <v>29</v>
      </c>
      <c r="B8" s="47"/>
      <c r="C8" s="47"/>
      <c r="D8" s="47"/>
    </row>
    <row r="9" spans="1:4" ht="15">
      <c r="A9" s="47" t="s">
        <v>83</v>
      </c>
      <c r="B9" s="47"/>
      <c r="C9" s="47"/>
      <c r="D9" s="47"/>
    </row>
    <row r="11" ht="15">
      <c r="D11" s="3" t="s">
        <v>16</v>
      </c>
    </row>
    <row r="12" spans="1:4" s="2" customFormat="1" ht="45">
      <c r="A12" s="4" t="s">
        <v>0</v>
      </c>
      <c r="B12" s="5" t="s">
        <v>80</v>
      </c>
      <c r="C12" s="5" t="s">
        <v>81</v>
      </c>
      <c r="D12" s="5" t="s">
        <v>82</v>
      </c>
    </row>
    <row r="13" spans="1:4" s="2" customFormat="1" ht="15">
      <c r="A13" s="6" t="s">
        <v>14</v>
      </c>
      <c r="B13" s="5"/>
      <c r="C13" s="5"/>
      <c r="D13" s="5"/>
    </row>
    <row r="14" spans="1:4" ht="15">
      <c r="A14" s="7" t="s">
        <v>1</v>
      </c>
      <c r="B14" s="8">
        <f>1528+883+329</f>
        <v>2740</v>
      </c>
      <c r="C14" s="8">
        <v>1475.6</v>
      </c>
      <c r="D14" s="9">
        <f>C14/B14*100</f>
        <v>53.85401459854015</v>
      </c>
    </row>
    <row r="15" spans="1:4" ht="15">
      <c r="A15" s="7" t="s">
        <v>2</v>
      </c>
      <c r="B15" s="8">
        <f>B16+B17</f>
        <v>373</v>
      </c>
      <c r="C15" s="8">
        <f>C16+C17</f>
        <v>64</v>
      </c>
      <c r="D15" s="9">
        <f aca="true" t="shared" si="0" ref="D15:D37">C15/B15*100</f>
        <v>17.158176943699733</v>
      </c>
    </row>
    <row r="16" spans="1:4" ht="15">
      <c r="A16" s="7" t="s">
        <v>47</v>
      </c>
      <c r="B16" s="8">
        <f>5+5+54</f>
        <v>64</v>
      </c>
      <c r="C16" s="8">
        <v>53.5</v>
      </c>
      <c r="D16" s="24">
        <f t="shared" si="0"/>
        <v>83.59375</v>
      </c>
    </row>
    <row r="17" spans="1:4" ht="15">
      <c r="A17" s="7" t="s">
        <v>4</v>
      </c>
      <c r="B17" s="8">
        <f>77+179+53</f>
        <v>309</v>
      </c>
      <c r="C17" s="8">
        <v>10.5</v>
      </c>
      <c r="D17" s="9">
        <f t="shared" si="0"/>
        <v>3.3980582524271843</v>
      </c>
    </row>
    <row r="18" spans="1:4" ht="15">
      <c r="A18" s="7" t="s">
        <v>69</v>
      </c>
      <c r="B18" s="8">
        <f>15+0+0</f>
        <v>15</v>
      </c>
      <c r="C18" s="8">
        <v>28.9</v>
      </c>
      <c r="D18" s="9">
        <f>C18/B18*100</f>
        <v>192.66666666666666</v>
      </c>
    </row>
    <row r="19" spans="1:4" ht="30">
      <c r="A19" s="10" t="s">
        <v>70</v>
      </c>
      <c r="B19" s="11">
        <f>B20+B21</f>
        <v>1215.5</v>
      </c>
      <c r="C19" s="11">
        <f>C20+C21</f>
        <v>1407.3999999999999</v>
      </c>
      <c r="D19" s="12">
        <f t="shared" si="0"/>
        <v>115.7877416700946</v>
      </c>
    </row>
    <row r="20" spans="1:4" ht="15">
      <c r="A20" s="7" t="s">
        <v>6</v>
      </c>
      <c r="B20" s="8">
        <f>3.5+7+7</f>
        <v>17.5</v>
      </c>
      <c r="C20" s="8">
        <v>20.1</v>
      </c>
      <c r="D20" s="24">
        <f t="shared" si="0"/>
        <v>114.85714285714286</v>
      </c>
    </row>
    <row r="21" spans="1:4" ht="15">
      <c r="A21" s="7" t="s">
        <v>7</v>
      </c>
      <c r="B21" s="8">
        <f>400+383+415</f>
        <v>1198</v>
      </c>
      <c r="C21" s="8">
        <v>1387.3</v>
      </c>
      <c r="D21" s="24">
        <f t="shared" si="0"/>
        <v>115.80133555926544</v>
      </c>
    </row>
    <row r="22" spans="1:4" ht="15">
      <c r="A22" s="7" t="s">
        <v>33</v>
      </c>
      <c r="B22" s="8">
        <f>0+0+2</f>
        <v>2</v>
      </c>
      <c r="C22" s="8">
        <v>0.9</v>
      </c>
      <c r="D22" s="24">
        <f t="shared" si="0"/>
        <v>45</v>
      </c>
    </row>
    <row r="23" spans="1:4" ht="15">
      <c r="A23" s="10" t="s">
        <v>71</v>
      </c>
      <c r="B23" s="11">
        <v>0</v>
      </c>
      <c r="C23" s="11">
        <v>24.2</v>
      </c>
      <c r="D23" s="29" t="e">
        <f t="shared" si="0"/>
        <v>#DIV/0!</v>
      </c>
    </row>
    <row r="24" spans="1:4" ht="15">
      <c r="A24" s="10" t="s">
        <v>72</v>
      </c>
      <c r="B24" s="11">
        <f>30+50+20</f>
        <v>100</v>
      </c>
      <c r="C24" s="11">
        <v>97</v>
      </c>
      <c r="D24" s="12">
        <f>C24/B24*100</f>
        <v>97</v>
      </c>
    </row>
    <row r="25" spans="1:4" ht="15">
      <c r="A25" s="14" t="s">
        <v>9</v>
      </c>
      <c r="B25" s="8">
        <f>B14+B15+B18+B19+B22+B23+B24</f>
        <v>4445.5</v>
      </c>
      <c r="C25" s="9">
        <f>C14+C15+C18+C19+C22+C23+C24</f>
        <v>3097.9999999999995</v>
      </c>
      <c r="D25" s="9">
        <f t="shared" si="0"/>
        <v>69.68844899336406</v>
      </c>
    </row>
    <row r="26" spans="1:4" ht="15">
      <c r="A26" s="7" t="s">
        <v>74</v>
      </c>
      <c r="B26" s="8">
        <f>B27+B28+B29+B30+B31+B32+B33+B36</f>
        <v>3455.3999999999996</v>
      </c>
      <c r="C26" s="8">
        <f>C27+C28+C29+C30+C31+C32+C33+C36</f>
        <v>3085.7999999999997</v>
      </c>
      <c r="D26" s="9">
        <f t="shared" si="0"/>
        <v>89.30369855877757</v>
      </c>
    </row>
    <row r="27" spans="1:4" ht="15">
      <c r="A27" s="7" t="s">
        <v>11</v>
      </c>
      <c r="B27" s="8">
        <f>537+537+537</f>
        <v>1611</v>
      </c>
      <c r="C27" s="8">
        <v>1611</v>
      </c>
      <c r="D27" s="9">
        <f t="shared" si="0"/>
        <v>100</v>
      </c>
    </row>
    <row r="28" spans="1:4" ht="15">
      <c r="A28" s="7" t="s">
        <v>12</v>
      </c>
      <c r="B28" s="8">
        <f>(213+3)+1+1</f>
        <v>218</v>
      </c>
      <c r="C28" s="8">
        <v>163.8</v>
      </c>
      <c r="D28" s="9">
        <f t="shared" si="0"/>
        <v>75.13761467889908</v>
      </c>
    </row>
    <row r="29" spans="1:4" ht="15">
      <c r="A29" s="7" t="s">
        <v>13</v>
      </c>
      <c r="B29" s="8">
        <f>0+(624+812)+219.2</f>
        <v>1655.2</v>
      </c>
      <c r="C29" s="8">
        <v>1339.8</v>
      </c>
      <c r="D29" s="24">
        <f t="shared" si="0"/>
        <v>80.94490091831801</v>
      </c>
    </row>
    <row r="30" spans="1:4" ht="15" hidden="1">
      <c r="A30" s="7" t="s">
        <v>57</v>
      </c>
      <c r="B30" s="8">
        <f>0</f>
        <v>0</v>
      </c>
      <c r="C30" s="8">
        <v>0</v>
      </c>
      <c r="D30" s="13" t="e">
        <f t="shared" si="0"/>
        <v>#DIV/0!</v>
      </c>
    </row>
    <row r="31" spans="1:4" ht="15" hidden="1">
      <c r="A31" s="7" t="s">
        <v>48</v>
      </c>
      <c r="B31" s="8">
        <v>0</v>
      </c>
      <c r="C31" s="8">
        <v>0</v>
      </c>
      <c r="D31" s="13" t="e">
        <f t="shared" si="0"/>
        <v>#DIV/0!</v>
      </c>
    </row>
    <row r="32" spans="1:4" ht="15">
      <c r="A32" s="7" t="s">
        <v>73</v>
      </c>
      <c r="B32" s="8">
        <f>0+0+5</f>
        <v>5</v>
      </c>
      <c r="C32" s="8">
        <v>5</v>
      </c>
      <c r="D32" s="24">
        <f t="shared" si="0"/>
        <v>100</v>
      </c>
    </row>
    <row r="33" spans="1:4" ht="15" hidden="1">
      <c r="A33" s="7" t="s">
        <v>49</v>
      </c>
      <c r="B33" s="8">
        <v>0</v>
      </c>
      <c r="C33" s="8">
        <v>0</v>
      </c>
      <c r="D33" s="13" t="e">
        <f t="shared" si="0"/>
        <v>#DIV/0!</v>
      </c>
    </row>
    <row r="34" spans="1:4" ht="15" hidden="1">
      <c r="A34" s="10" t="s">
        <v>72</v>
      </c>
      <c r="B34" s="11">
        <v>0</v>
      </c>
      <c r="C34" s="11">
        <v>0</v>
      </c>
      <c r="D34" s="12" t="e">
        <f t="shared" si="0"/>
        <v>#DIV/0!</v>
      </c>
    </row>
    <row r="35" spans="1:4" ht="15" hidden="1">
      <c r="A35" s="10"/>
      <c r="B35" s="11">
        <v>0</v>
      </c>
      <c r="C35" s="11">
        <v>0</v>
      </c>
      <c r="D35" s="29" t="e">
        <f t="shared" si="0"/>
        <v>#DIV/0!</v>
      </c>
    </row>
    <row r="36" spans="1:4" ht="30">
      <c r="A36" s="10" t="s">
        <v>79</v>
      </c>
      <c r="B36" s="11">
        <f>0-33.8</f>
        <v>-33.8</v>
      </c>
      <c r="C36" s="11">
        <v>-33.8</v>
      </c>
      <c r="D36" s="46">
        <f t="shared" si="0"/>
        <v>100</v>
      </c>
    </row>
    <row r="37" spans="1:4" ht="15">
      <c r="A37" s="15" t="s">
        <v>15</v>
      </c>
      <c r="B37" s="21">
        <f>B25+B26+B34+B35</f>
        <v>7900.9</v>
      </c>
      <c r="C37" s="21">
        <f>C25+C26+C34+C35</f>
        <v>6183.799999999999</v>
      </c>
      <c r="D37" s="22">
        <f t="shared" si="0"/>
        <v>78.26703286967307</v>
      </c>
    </row>
    <row r="38" spans="1:4" ht="15">
      <c r="A38" s="16" t="s">
        <v>17</v>
      </c>
      <c r="B38" s="31"/>
      <c r="C38" s="31"/>
      <c r="D38" s="9"/>
    </row>
    <row r="39" spans="1:4" s="34" customFormat="1" ht="14.25">
      <c r="A39" s="32" t="s">
        <v>18</v>
      </c>
      <c r="B39" s="33">
        <f>SUM(B40:B51)</f>
        <v>3196.677</v>
      </c>
      <c r="C39" s="33">
        <f>SUM(C40:C51)</f>
        <v>2760.5000000000005</v>
      </c>
      <c r="D39" s="22">
        <f aca="true" t="shared" si="1" ref="D39:D120">C39/B39*100</f>
        <v>86.35529958140908</v>
      </c>
    </row>
    <row r="40" spans="1:4" ht="15">
      <c r="A40" s="7" t="s">
        <v>19</v>
      </c>
      <c r="B40" s="31">
        <f>(145+350)+(135+230)+(105+290)</f>
        <v>1255</v>
      </c>
      <c r="C40" s="31">
        <f>362.4+802</f>
        <v>1164.4</v>
      </c>
      <c r="D40" s="9">
        <f t="shared" si="1"/>
        <v>92.78087649402391</v>
      </c>
    </row>
    <row r="41" spans="1:4" ht="15" hidden="1">
      <c r="A41" s="35" t="s">
        <v>58</v>
      </c>
      <c r="B41" s="31">
        <f>(4+20)+(10+5)+(10+2)</f>
        <v>51</v>
      </c>
      <c r="C41" s="31">
        <v>44.5</v>
      </c>
      <c r="D41" s="9">
        <f t="shared" si="1"/>
        <v>87.25490196078431</v>
      </c>
    </row>
    <row r="42" spans="1:4" ht="15">
      <c r="A42" s="7" t="s">
        <v>59</v>
      </c>
      <c r="B42" s="31">
        <f>(44+106)+(40+70)+(33+87)</f>
        <v>380</v>
      </c>
      <c r="C42" s="31">
        <f>108.2+236.7</f>
        <v>344.9</v>
      </c>
      <c r="D42" s="9">
        <f t="shared" si="1"/>
        <v>90.76315789473684</v>
      </c>
    </row>
    <row r="43" spans="1:4" ht="15">
      <c r="A43" s="40" t="s">
        <v>60</v>
      </c>
      <c r="B43" s="31">
        <f>24+15+15</f>
        <v>54</v>
      </c>
      <c r="C43" s="31">
        <v>48</v>
      </c>
      <c r="D43" s="9">
        <f t="shared" si="1"/>
        <v>88.88888888888889</v>
      </c>
    </row>
    <row r="44" spans="1:4" ht="15" hidden="1">
      <c r="A44" s="35" t="s">
        <v>61</v>
      </c>
      <c r="B44" s="31">
        <f>4+4+2</f>
        <v>10</v>
      </c>
      <c r="C44" s="31">
        <v>8.7</v>
      </c>
      <c r="D44" s="9">
        <f t="shared" si="1"/>
        <v>86.99999999999999</v>
      </c>
    </row>
    <row r="45" spans="1:4" ht="15">
      <c r="A45" s="7" t="s">
        <v>21</v>
      </c>
      <c r="B45" s="31">
        <f>(24+500)+(17+225)+(8+38)</f>
        <v>812</v>
      </c>
      <c r="C45" s="31">
        <f>41.8+694.5</f>
        <v>736.3</v>
      </c>
      <c r="D45" s="9">
        <f t="shared" si="1"/>
        <v>90.67733990147782</v>
      </c>
    </row>
    <row r="46" spans="1:4" ht="15">
      <c r="A46" s="7" t="s">
        <v>23</v>
      </c>
      <c r="B46" s="31">
        <f>(15+34)+(15+86+10+16.609+26.068)+(15+3)</f>
        <v>220.67700000000002</v>
      </c>
      <c r="C46" s="31">
        <f>33.6+104.3+16.6+26.1</f>
        <v>180.6</v>
      </c>
      <c r="D46" s="9">
        <f t="shared" si="1"/>
        <v>81.83906795905327</v>
      </c>
    </row>
    <row r="47" spans="1:4" ht="15">
      <c r="A47" s="40" t="s">
        <v>62</v>
      </c>
      <c r="B47" s="31">
        <f>(16+0)+(15+105)+(16+60)</f>
        <v>212</v>
      </c>
      <c r="C47" s="31">
        <f>41.5+60</f>
        <v>101.5</v>
      </c>
      <c r="D47" s="9">
        <f t="shared" si="1"/>
        <v>47.87735849056604</v>
      </c>
    </row>
    <row r="48" spans="1:4" ht="15" hidden="1">
      <c r="A48" s="35" t="s">
        <v>63</v>
      </c>
      <c r="B48" s="31">
        <f>(0+10+0)+(1+0+1)+(1+0+1)</f>
        <v>14</v>
      </c>
      <c r="C48" s="31">
        <f>2+10+2</f>
        <v>14</v>
      </c>
      <c r="D48" s="9">
        <f t="shared" si="1"/>
        <v>100</v>
      </c>
    </row>
    <row r="49" spans="1:4" ht="15" hidden="1">
      <c r="A49" s="35" t="s">
        <v>64</v>
      </c>
      <c r="B49" s="31">
        <f>(2+0+1)+(5-5+114+0)+(0)</f>
        <v>117</v>
      </c>
      <c r="C49" s="31">
        <f>0.4+102.5+0.4</f>
        <v>103.30000000000001</v>
      </c>
      <c r="D49" s="9">
        <f t="shared" si="1"/>
        <v>88.2905982905983</v>
      </c>
    </row>
    <row r="50" spans="1:4" ht="15" hidden="1">
      <c r="A50" s="7" t="s">
        <v>22</v>
      </c>
      <c r="B50" s="31">
        <f>50-20+0</f>
        <v>30</v>
      </c>
      <c r="C50" s="31">
        <v>0</v>
      </c>
      <c r="D50" s="9">
        <f t="shared" si="1"/>
        <v>0</v>
      </c>
    </row>
    <row r="51" spans="1:4" ht="15">
      <c r="A51" s="40" t="s">
        <v>66</v>
      </c>
      <c r="B51" s="31">
        <f>(9+3+0+0)+(10+1+2+5)+(3+1+2+5)</f>
        <v>41</v>
      </c>
      <c r="C51" s="31">
        <f>13.3+0.5+0.5</f>
        <v>14.3</v>
      </c>
      <c r="D51" s="24">
        <f t="shared" si="1"/>
        <v>34.87804878048781</v>
      </c>
    </row>
    <row r="52" spans="1:4" s="34" customFormat="1" ht="14.25">
      <c r="A52" s="32" t="s">
        <v>25</v>
      </c>
      <c r="B52" s="33">
        <f>SUM(B53:B64)</f>
        <v>213</v>
      </c>
      <c r="C52" s="33">
        <f>SUM(C53:C64)</f>
        <v>147</v>
      </c>
      <c r="D52" s="22">
        <f t="shared" si="1"/>
        <v>69.01408450704226</v>
      </c>
    </row>
    <row r="53" spans="1:4" ht="15">
      <c r="A53" s="7" t="s">
        <v>19</v>
      </c>
      <c r="B53" s="31">
        <v>150</v>
      </c>
      <c r="C53" s="31">
        <v>105.8</v>
      </c>
      <c r="D53" s="9">
        <f t="shared" si="1"/>
        <v>70.53333333333333</v>
      </c>
    </row>
    <row r="54" spans="1:4" ht="15" hidden="1">
      <c r="A54" s="35" t="s">
        <v>58</v>
      </c>
      <c r="B54" s="31">
        <v>0</v>
      </c>
      <c r="C54" s="31">
        <v>0</v>
      </c>
      <c r="D54" s="9" t="e">
        <f t="shared" si="1"/>
        <v>#DIV/0!</v>
      </c>
    </row>
    <row r="55" spans="1:4" ht="15">
      <c r="A55" s="7" t="s">
        <v>59</v>
      </c>
      <c r="B55" s="31">
        <v>45</v>
      </c>
      <c r="C55" s="31">
        <v>30.7</v>
      </c>
      <c r="D55" s="9">
        <f t="shared" si="1"/>
        <v>68.22222222222221</v>
      </c>
    </row>
    <row r="56" spans="1:4" ht="13.5" customHeight="1" hidden="1">
      <c r="A56" s="35" t="s">
        <v>60</v>
      </c>
      <c r="B56" s="31">
        <v>4</v>
      </c>
      <c r="C56" s="31">
        <v>2.3</v>
      </c>
      <c r="D56" s="9">
        <f t="shared" si="1"/>
        <v>57.49999999999999</v>
      </c>
    </row>
    <row r="57" spans="1:4" ht="13.5" customHeight="1" hidden="1">
      <c r="A57" s="35" t="s">
        <v>61</v>
      </c>
      <c r="B57" s="31">
        <v>7</v>
      </c>
      <c r="C57" s="31">
        <v>3.6</v>
      </c>
      <c r="D57" s="9">
        <f t="shared" si="1"/>
        <v>51.42857142857144</v>
      </c>
    </row>
    <row r="58" spans="1:4" ht="13.5" customHeight="1">
      <c r="A58" s="7" t="s">
        <v>21</v>
      </c>
      <c r="B58" s="31">
        <v>6</v>
      </c>
      <c r="C58" s="31">
        <v>4.2</v>
      </c>
      <c r="D58" s="9">
        <f t="shared" si="1"/>
        <v>70</v>
      </c>
    </row>
    <row r="59" spans="1:4" ht="13.5" customHeight="1" hidden="1">
      <c r="A59" s="7" t="s">
        <v>23</v>
      </c>
      <c r="B59" s="31">
        <v>0</v>
      </c>
      <c r="C59" s="31">
        <v>0</v>
      </c>
      <c r="D59" s="9" t="e">
        <f t="shared" si="1"/>
        <v>#DIV/0!</v>
      </c>
    </row>
    <row r="60" spans="1:4" ht="13.5" customHeight="1" hidden="1">
      <c r="A60" s="35" t="s">
        <v>62</v>
      </c>
      <c r="B60" s="31">
        <v>0</v>
      </c>
      <c r="C60" s="31">
        <v>0</v>
      </c>
      <c r="D60" s="9" t="e">
        <f t="shared" si="1"/>
        <v>#DIV/0!</v>
      </c>
    </row>
    <row r="61" spans="1:4" ht="13.5" customHeight="1" hidden="1">
      <c r="A61" s="35" t="s">
        <v>63</v>
      </c>
      <c r="B61" s="31">
        <v>0</v>
      </c>
      <c r="C61" s="31">
        <v>0</v>
      </c>
      <c r="D61" s="9" t="e">
        <f t="shared" si="1"/>
        <v>#DIV/0!</v>
      </c>
    </row>
    <row r="62" spans="1:4" ht="13.5" customHeight="1" hidden="1">
      <c r="A62" s="35" t="s">
        <v>64</v>
      </c>
      <c r="B62" s="31">
        <v>1</v>
      </c>
      <c r="C62" s="31">
        <v>0.4</v>
      </c>
      <c r="D62" s="9">
        <f t="shared" si="1"/>
        <v>40</v>
      </c>
    </row>
    <row r="63" spans="1:4" ht="13.5" customHeight="1" hidden="1">
      <c r="A63" s="7" t="s">
        <v>22</v>
      </c>
      <c r="B63" s="31">
        <v>0</v>
      </c>
      <c r="C63" s="31">
        <v>0</v>
      </c>
      <c r="D63" s="9" t="e">
        <f t="shared" si="1"/>
        <v>#DIV/0!</v>
      </c>
    </row>
    <row r="64" spans="1:4" ht="13.5" customHeight="1" hidden="1">
      <c r="A64" s="40" t="s">
        <v>65</v>
      </c>
      <c r="B64" s="31">
        <v>0</v>
      </c>
      <c r="C64" s="31">
        <v>0</v>
      </c>
      <c r="D64" s="9" t="e">
        <f t="shared" si="1"/>
        <v>#DIV/0!</v>
      </c>
    </row>
    <row r="65" spans="1:4" s="34" customFormat="1" ht="14.25">
      <c r="A65" s="32" t="s">
        <v>24</v>
      </c>
      <c r="B65" s="33">
        <f>SUM(B66:B71)</f>
        <v>85.5</v>
      </c>
      <c r="C65" s="33">
        <f>SUM(C66:C71)</f>
        <v>39.9</v>
      </c>
      <c r="D65" s="22">
        <f t="shared" si="1"/>
        <v>46.666666666666664</v>
      </c>
    </row>
    <row r="66" spans="1:4" s="34" customFormat="1" ht="14.25" hidden="1">
      <c r="A66" s="32">
        <v>225</v>
      </c>
      <c r="B66" s="33">
        <f>9+4+7.5</f>
        <v>20.5</v>
      </c>
      <c r="C66" s="33">
        <f>7.6</f>
        <v>7.6</v>
      </c>
      <c r="D66" s="22">
        <f t="shared" si="1"/>
        <v>37.073170731707314</v>
      </c>
    </row>
    <row r="67" spans="1:4" s="34" customFormat="1" ht="14.25" hidden="1">
      <c r="A67" s="32">
        <v>226</v>
      </c>
      <c r="B67" s="33">
        <f>(2.5+0)+(6+2+2)+(0.5+0+0)</f>
        <v>13</v>
      </c>
      <c r="C67" s="33">
        <v>0</v>
      </c>
      <c r="D67" s="22">
        <f t="shared" si="1"/>
        <v>0</v>
      </c>
    </row>
    <row r="68" spans="1:4" s="34" customFormat="1" ht="14.25" hidden="1">
      <c r="A68" s="32">
        <v>251</v>
      </c>
      <c r="B68" s="33">
        <f>10+11+11</f>
        <v>32</v>
      </c>
      <c r="C68" s="33">
        <v>32</v>
      </c>
      <c r="D68" s="22">
        <f>C68/B68*100</f>
        <v>100</v>
      </c>
    </row>
    <row r="69" spans="1:4" s="34" customFormat="1" ht="14.25" hidden="1">
      <c r="A69" s="32">
        <v>290</v>
      </c>
      <c r="B69" s="33">
        <f>(0+1)+(10+0)+0</f>
        <v>11</v>
      </c>
      <c r="C69" s="33">
        <v>0.3</v>
      </c>
      <c r="D69" s="22">
        <f t="shared" si="1"/>
        <v>2.727272727272727</v>
      </c>
    </row>
    <row r="70" spans="1:4" s="34" customFormat="1" ht="14.25" hidden="1">
      <c r="A70" s="32">
        <v>310</v>
      </c>
      <c r="B70" s="33">
        <f>0</f>
        <v>0</v>
      </c>
      <c r="C70" s="33">
        <v>0</v>
      </c>
      <c r="D70" s="22"/>
    </row>
    <row r="71" spans="1:4" s="34" customFormat="1" ht="14.25" hidden="1">
      <c r="A71" s="32">
        <v>340</v>
      </c>
      <c r="B71" s="33">
        <f>(5+0)+(0+2)+2</f>
        <v>9</v>
      </c>
      <c r="C71" s="33">
        <v>0</v>
      </c>
      <c r="D71" s="22">
        <f t="shared" si="1"/>
        <v>0</v>
      </c>
    </row>
    <row r="72" spans="1:4" s="34" customFormat="1" ht="14.25">
      <c r="A72" s="32" t="s">
        <v>38</v>
      </c>
      <c r="B72" s="33">
        <f>SUM(B73:B74)</f>
        <v>624</v>
      </c>
      <c r="C72" s="33">
        <f>SUM(C73:C74)</f>
        <v>418.2</v>
      </c>
      <c r="D72" s="22">
        <f t="shared" si="1"/>
        <v>67.01923076923076</v>
      </c>
    </row>
    <row r="73" spans="1:4" s="34" customFormat="1" ht="14.25" hidden="1">
      <c r="A73" s="32">
        <v>225</v>
      </c>
      <c r="B73" s="33">
        <f>0+624</f>
        <v>624</v>
      </c>
      <c r="C73" s="33">
        <v>418.2</v>
      </c>
      <c r="D73" s="22"/>
    </row>
    <row r="74" spans="1:4" s="34" customFormat="1" ht="14.25" hidden="1">
      <c r="A74" s="32">
        <v>226</v>
      </c>
      <c r="B74" s="33">
        <v>0</v>
      </c>
      <c r="C74" s="33">
        <v>0</v>
      </c>
      <c r="D74" s="22" t="e">
        <f t="shared" si="1"/>
        <v>#DIV/0!</v>
      </c>
    </row>
    <row r="75" spans="1:4" s="34" customFormat="1" ht="14.25">
      <c r="A75" s="32" t="s">
        <v>75</v>
      </c>
      <c r="B75" s="33">
        <f>SUM(B76:B81)</f>
        <v>2522</v>
      </c>
      <c r="C75" s="33">
        <f>SUM(C76:C81)</f>
        <v>1895.3000000000002</v>
      </c>
      <c r="D75" s="22">
        <f t="shared" si="1"/>
        <v>75.15067406819985</v>
      </c>
    </row>
    <row r="76" spans="1:4" ht="15">
      <c r="A76" s="7" t="s">
        <v>21</v>
      </c>
      <c r="B76" s="31">
        <f>312+88+0</f>
        <v>400</v>
      </c>
      <c r="C76" s="31">
        <v>120</v>
      </c>
      <c r="D76" s="9">
        <f t="shared" si="1"/>
        <v>30</v>
      </c>
    </row>
    <row r="77" spans="1:4" ht="15">
      <c r="A77" s="7" t="s">
        <v>23</v>
      </c>
      <c r="B77" s="31">
        <f>(0+30+0+0+70+10+45)+(0+50+1274+203+5+157+10+8+30-26)+(15+20+130+42+0)</f>
        <v>2073</v>
      </c>
      <c r="C77" s="31">
        <f>34.7+1224.4+308.2+133.9+9.6+43</f>
        <v>1753.8000000000002</v>
      </c>
      <c r="D77" s="9">
        <f t="shared" si="1"/>
        <v>84.60202604920406</v>
      </c>
    </row>
    <row r="78" spans="1:4" ht="15" hidden="1">
      <c r="A78" s="35" t="s">
        <v>62</v>
      </c>
      <c r="B78" s="31">
        <f>0+0+5</f>
        <v>5</v>
      </c>
      <c r="C78" s="31">
        <v>0</v>
      </c>
      <c r="D78" s="9">
        <f t="shared" si="1"/>
        <v>0</v>
      </c>
    </row>
    <row r="79" spans="1:4" ht="15" hidden="1">
      <c r="A79" s="35" t="s">
        <v>64</v>
      </c>
      <c r="B79" s="31">
        <f>(1+3)+0+0</f>
        <v>4</v>
      </c>
      <c r="C79" s="31">
        <f>0.1+1.6</f>
        <v>1.7000000000000002</v>
      </c>
      <c r="D79" s="9">
        <f t="shared" si="1"/>
        <v>42.50000000000001</v>
      </c>
    </row>
    <row r="80" spans="1:4" ht="15" hidden="1">
      <c r="A80" s="7" t="s">
        <v>22</v>
      </c>
      <c r="B80" s="31">
        <f>0+0+0</f>
        <v>0</v>
      </c>
      <c r="C80" s="31">
        <v>0</v>
      </c>
      <c r="D80" s="9" t="e">
        <f t="shared" si="1"/>
        <v>#DIV/0!</v>
      </c>
    </row>
    <row r="81" spans="1:4" s="43" customFormat="1" ht="15">
      <c r="A81" s="40" t="s">
        <v>65</v>
      </c>
      <c r="B81" s="42">
        <f>(0+0+0+0)+(0+0+2+0+10+3)+(2+20+3)</f>
        <v>40</v>
      </c>
      <c r="C81" s="42">
        <f>2.2+10.3+2+5.3</f>
        <v>19.8</v>
      </c>
      <c r="D81" s="24">
        <f t="shared" si="1"/>
        <v>49.5</v>
      </c>
    </row>
    <row r="82" spans="1:4" s="34" customFormat="1" ht="14.25">
      <c r="A82" s="32" t="s">
        <v>76</v>
      </c>
      <c r="B82" s="33">
        <f>SUM(B83)</f>
        <v>1</v>
      </c>
      <c r="C82" s="33">
        <f>SUM(C83)</f>
        <v>0.9</v>
      </c>
      <c r="D82" s="36">
        <f t="shared" si="1"/>
        <v>90</v>
      </c>
    </row>
    <row r="83" spans="1:4" ht="15" hidden="1">
      <c r="A83" s="7">
        <v>340</v>
      </c>
      <c r="B83" s="31">
        <f>1</f>
        <v>1</v>
      </c>
      <c r="C83" s="31">
        <v>0.9</v>
      </c>
      <c r="D83" s="24"/>
    </row>
    <row r="84" spans="1:4" s="34" customFormat="1" ht="28.5">
      <c r="A84" s="45" t="s">
        <v>78</v>
      </c>
      <c r="B84" s="37">
        <f>SUM(B85:B97)</f>
        <v>1787.2</v>
      </c>
      <c r="C84" s="37">
        <f>SUM(C85:C97)</f>
        <v>1371.6999999999998</v>
      </c>
      <c r="D84" s="38">
        <f t="shared" si="1"/>
        <v>76.75134288272156</v>
      </c>
    </row>
    <row r="85" spans="1:4" ht="15" hidden="1">
      <c r="A85" s="7" t="s">
        <v>19</v>
      </c>
      <c r="B85" s="31">
        <v>0</v>
      </c>
      <c r="C85" s="31"/>
      <c r="D85" s="9" t="e">
        <f t="shared" si="1"/>
        <v>#DIV/0!</v>
      </c>
    </row>
    <row r="86" spans="1:4" ht="15" hidden="1">
      <c r="A86" s="35" t="s">
        <v>58</v>
      </c>
      <c r="B86" s="31">
        <f>6+6+45</f>
        <v>57</v>
      </c>
      <c r="C86" s="31">
        <v>52</v>
      </c>
      <c r="D86" s="9">
        <f t="shared" si="1"/>
        <v>91.22807017543859</v>
      </c>
    </row>
    <row r="87" spans="1:4" ht="15" hidden="1">
      <c r="A87" s="7" t="s">
        <v>59</v>
      </c>
      <c r="B87" s="31">
        <v>0</v>
      </c>
      <c r="C87" s="31"/>
      <c r="D87" s="9" t="e">
        <f t="shared" si="1"/>
        <v>#DIV/0!</v>
      </c>
    </row>
    <row r="88" spans="1:4" ht="15" hidden="1">
      <c r="A88" s="35" t="s">
        <v>60</v>
      </c>
      <c r="B88" s="31">
        <v>0</v>
      </c>
      <c r="C88" s="31"/>
      <c r="D88" s="9" t="e">
        <f t="shared" si="1"/>
        <v>#DIV/0!</v>
      </c>
    </row>
    <row r="89" spans="1:4" ht="15" hidden="1">
      <c r="A89" s="35" t="s">
        <v>61</v>
      </c>
      <c r="B89" s="31">
        <v>0</v>
      </c>
      <c r="C89" s="31"/>
      <c r="D89" s="9" t="e">
        <f t="shared" si="1"/>
        <v>#DIV/0!</v>
      </c>
    </row>
    <row r="90" spans="1:4" ht="15" hidden="1">
      <c r="A90" s="7" t="s">
        <v>21</v>
      </c>
      <c r="B90" s="31">
        <v>0</v>
      </c>
      <c r="C90" s="31"/>
      <c r="D90" s="9" t="e">
        <f t="shared" si="1"/>
        <v>#DIV/0!</v>
      </c>
    </row>
    <row r="91" spans="1:4" ht="15" hidden="1">
      <c r="A91" s="7" t="s">
        <v>23</v>
      </c>
      <c r="B91" s="31">
        <v>0</v>
      </c>
      <c r="C91" s="31"/>
      <c r="D91" s="9" t="e">
        <f t="shared" si="1"/>
        <v>#DIV/0!</v>
      </c>
    </row>
    <row r="92" spans="1:4" ht="15" hidden="1">
      <c r="A92" s="35" t="s">
        <v>62</v>
      </c>
      <c r="B92" s="31">
        <v>1</v>
      </c>
      <c r="C92" s="31"/>
      <c r="D92" s="9">
        <f t="shared" si="1"/>
        <v>0</v>
      </c>
    </row>
    <row r="93" spans="1:4" ht="15" hidden="1">
      <c r="A93" s="40" t="s">
        <v>67</v>
      </c>
      <c r="B93" s="31">
        <f>(400+350)+(269+69)+(353+65+219.2)</f>
        <v>1725.2</v>
      </c>
      <c r="C93" s="31">
        <f>759.6+450.5+109.6</f>
        <v>1319.6999999999998</v>
      </c>
      <c r="D93" s="9"/>
    </row>
    <row r="94" spans="1:4" ht="15" hidden="1">
      <c r="A94" s="35" t="s">
        <v>63</v>
      </c>
      <c r="B94" s="31">
        <v>0</v>
      </c>
      <c r="C94" s="31"/>
      <c r="D94" s="9" t="e">
        <f t="shared" si="1"/>
        <v>#DIV/0!</v>
      </c>
    </row>
    <row r="95" spans="1:4" ht="15" hidden="1">
      <c r="A95" s="35" t="s">
        <v>64</v>
      </c>
      <c r="B95" s="31">
        <v>0</v>
      </c>
      <c r="C95" s="31"/>
      <c r="D95" s="9" t="e">
        <f t="shared" si="1"/>
        <v>#DIV/0!</v>
      </c>
    </row>
    <row r="96" spans="1:4" ht="15" hidden="1">
      <c r="A96" s="7" t="s">
        <v>22</v>
      </c>
      <c r="B96" s="31">
        <v>4</v>
      </c>
      <c r="C96" s="31"/>
      <c r="D96" s="9">
        <f t="shared" si="1"/>
        <v>0</v>
      </c>
    </row>
    <row r="97" spans="1:4" ht="15" hidden="1">
      <c r="A97" s="35" t="s">
        <v>65</v>
      </c>
      <c r="B97" s="31">
        <v>0</v>
      </c>
      <c r="C97" s="31"/>
      <c r="D97" s="9" t="e">
        <f t="shared" si="1"/>
        <v>#DIV/0!</v>
      </c>
    </row>
    <row r="98" spans="1:4" s="34" customFormat="1" ht="14.25">
      <c r="A98" s="32" t="s">
        <v>77</v>
      </c>
      <c r="B98" s="33">
        <f>SUM(B101:B102)</f>
        <v>10</v>
      </c>
      <c r="C98" s="33">
        <f>SUM(C101:C102)</f>
        <v>6.5</v>
      </c>
      <c r="D98" s="36">
        <f t="shared" si="1"/>
        <v>65</v>
      </c>
    </row>
    <row r="99" spans="1:4" ht="15" hidden="1">
      <c r="A99" s="7" t="s">
        <v>50</v>
      </c>
      <c r="B99" s="31">
        <v>0</v>
      </c>
      <c r="C99" s="31">
        <v>0</v>
      </c>
      <c r="D99" s="13" t="e">
        <f t="shared" si="1"/>
        <v>#DIV/0!</v>
      </c>
    </row>
    <row r="100" spans="1:4" ht="15" hidden="1">
      <c r="A100" s="7" t="s">
        <v>51</v>
      </c>
      <c r="B100" s="31">
        <v>0</v>
      </c>
      <c r="C100" s="31">
        <v>0</v>
      </c>
      <c r="D100" s="9" t="e">
        <f t="shared" si="1"/>
        <v>#DIV/0!</v>
      </c>
    </row>
    <row r="101" spans="1:4" ht="15" hidden="1">
      <c r="A101" s="7">
        <v>222</v>
      </c>
      <c r="B101" s="31">
        <f>0+7</f>
        <v>7</v>
      </c>
      <c r="C101" s="31">
        <v>5</v>
      </c>
      <c r="D101" s="9">
        <f t="shared" si="1"/>
        <v>71.42857142857143</v>
      </c>
    </row>
    <row r="102" spans="1:4" ht="15" hidden="1">
      <c r="A102" s="7">
        <v>340</v>
      </c>
      <c r="B102" s="31">
        <f>2+1</f>
        <v>3</v>
      </c>
      <c r="C102" s="31">
        <v>1.5</v>
      </c>
      <c r="D102" s="9">
        <f t="shared" si="1"/>
        <v>50</v>
      </c>
    </row>
    <row r="103" spans="1:4" ht="15">
      <c r="A103" s="15" t="s">
        <v>27</v>
      </c>
      <c r="B103" s="33">
        <f>B39+B52+B65+B72+B75+B82+B84+B98+B99+B100</f>
        <v>8439.377</v>
      </c>
      <c r="C103" s="33">
        <f>C39+C52+C65+C72+C75+C82+C84+C98+C99+C100</f>
        <v>6640</v>
      </c>
      <c r="D103" s="22">
        <f t="shared" si="1"/>
        <v>78.6787934701815</v>
      </c>
    </row>
    <row r="104" spans="1:4" ht="15">
      <c r="A104" s="17" t="s">
        <v>28</v>
      </c>
      <c r="B104" s="39"/>
      <c r="C104" s="39"/>
      <c r="D104" s="9"/>
    </row>
    <row r="105" spans="1:4" ht="15">
      <c r="A105" s="7" t="s">
        <v>19</v>
      </c>
      <c r="B105" s="31">
        <f aca="true" t="shared" si="2" ref="B105:C108">B40+B53+B85</f>
        <v>1405</v>
      </c>
      <c r="C105" s="31">
        <f t="shared" si="2"/>
        <v>1270.2</v>
      </c>
      <c r="D105" s="9">
        <f t="shared" si="1"/>
        <v>90.40569395017793</v>
      </c>
    </row>
    <row r="106" spans="1:4" ht="13.5" customHeight="1" hidden="1">
      <c r="A106" s="35" t="s">
        <v>58</v>
      </c>
      <c r="B106" s="31">
        <f t="shared" si="2"/>
        <v>108</v>
      </c>
      <c r="C106" s="31">
        <f t="shared" si="2"/>
        <v>96.5</v>
      </c>
      <c r="D106" s="9">
        <f t="shared" si="1"/>
        <v>89.35185185185185</v>
      </c>
    </row>
    <row r="107" spans="1:4" ht="13.5" customHeight="1">
      <c r="A107" s="7" t="s">
        <v>59</v>
      </c>
      <c r="B107" s="31">
        <f t="shared" si="2"/>
        <v>425</v>
      </c>
      <c r="C107" s="31">
        <f t="shared" si="2"/>
        <v>375.59999999999997</v>
      </c>
      <c r="D107" s="9">
        <f t="shared" si="1"/>
        <v>88.37647058823529</v>
      </c>
    </row>
    <row r="108" spans="1:4" ht="13.5" customHeight="1">
      <c r="A108" s="40" t="s">
        <v>60</v>
      </c>
      <c r="B108" s="31">
        <f t="shared" si="2"/>
        <v>58</v>
      </c>
      <c r="C108" s="31">
        <f t="shared" si="2"/>
        <v>50.3</v>
      </c>
      <c r="D108" s="9">
        <f t="shared" si="1"/>
        <v>86.72413793103448</v>
      </c>
    </row>
    <row r="109" spans="1:4" ht="13.5" customHeight="1" hidden="1">
      <c r="A109" s="35" t="s">
        <v>61</v>
      </c>
      <c r="B109" s="31">
        <f>B44+B57+B89+B101</f>
        <v>24</v>
      </c>
      <c r="C109" s="31">
        <f>C44+C57+C89+C101</f>
        <v>17.299999999999997</v>
      </c>
      <c r="D109" s="9">
        <f t="shared" si="1"/>
        <v>72.08333333333331</v>
      </c>
    </row>
    <row r="110" spans="1:4" ht="13.5" customHeight="1">
      <c r="A110" s="7" t="s">
        <v>21</v>
      </c>
      <c r="B110" s="31">
        <f>B45+B58+B76+B90</f>
        <v>1218</v>
      </c>
      <c r="C110" s="31">
        <f>C45+C58+C76+C90</f>
        <v>860.5</v>
      </c>
      <c r="D110" s="9">
        <f t="shared" si="1"/>
        <v>70.64860426929393</v>
      </c>
    </row>
    <row r="111" spans="1:4" ht="13.5" customHeight="1">
      <c r="A111" s="7" t="s">
        <v>23</v>
      </c>
      <c r="B111" s="31">
        <f>B46+B59+B66+B77+B91+B73</f>
        <v>2938.177</v>
      </c>
      <c r="C111" s="31">
        <f>C46+C59+C66+C77+C91+C73</f>
        <v>2360.2000000000003</v>
      </c>
      <c r="D111" s="9">
        <f t="shared" si="1"/>
        <v>80.32872083608305</v>
      </c>
    </row>
    <row r="112" spans="1:4" ht="13.5" customHeight="1">
      <c r="A112" s="40" t="s">
        <v>62</v>
      </c>
      <c r="B112" s="31">
        <f>B47+B60+B67+B74+B78+B92</f>
        <v>231</v>
      </c>
      <c r="C112" s="31">
        <f>C47+C60+C67+C74+C78+C92</f>
        <v>101.5</v>
      </c>
      <c r="D112" s="9">
        <f t="shared" si="1"/>
        <v>43.93939393939394</v>
      </c>
    </row>
    <row r="113" spans="1:4" ht="30">
      <c r="A113" s="41" t="s">
        <v>68</v>
      </c>
      <c r="B113" s="31">
        <f>B93</f>
        <v>1725.2</v>
      </c>
      <c r="C113" s="31">
        <f>C93</f>
        <v>1319.6999999999998</v>
      </c>
      <c r="D113" s="9">
        <f t="shared" si="1"/>
        <v>76.49547878506839</v>
      </c>
    </row>
    <row r="114" spans="1:4" ht="13.5" customHeight="1" hidden="1">
      <c r="A114" s="35" t="s">
        <v>63</v>
      </c>
      <c r="B114" s="31">
        <f>B48+B68+B94</f>
        <v>46</v>
      </c>
      <c r="C114" s="31">
        <f>C48+C68+C94</f>
        <v>46</v>
      </c>
      <c r="D114" s="9">
        <f t="shared" si="1"/>
        <v>100</v>
      </c>
    </row>
    <row r="115" spans="1:4" ht="13.5" customHeight="1" hidden="1">
      <c r="A115" s="35" t="s">
        <v>64</v>
      </c>
      <c r="B115" s="31">
        <f>B49+B62+B69+B79+B95</f>
        <v>133</v>
      </c>
      <c r="C115" s="31">
        <f>C49+C62+C69+C79+C95</f>
        <v>105.70000000000002</v>
      </c>
      <c r="D115" s="9">
        <f t="shared" si="1"/>
        <v>79.47368421052633</v>
      </c>
    </row>
    <row r="116" spans="1:4" ht="13.5" customHeight="1" hidden="1">
      <c r="A116" s="7" t="s">
        <v>22</v>
      </c>
      <c r="B116" s="31">
        <f>B50+B63+B70+B80+B96</f>
        <v>34</v>
      </c>
      <c r="C116" s="31">
        <f>C50+C63+C70+C80+C96</f>
        <v>0</v>
      </c>
      <c r="D116" s="9">
        <f t="shared" si="1"/>
        <v>0</v>
      </c>
    </row>
    <row r="117" spans="1:4" ht="13.5" customHeight="1">
      <c r="A117" s="40" t="s">
        <v>65</v>
      </c>
      <c r="B117" s="31">
        <f>B51+B64+B71+B81+B83+B97+B102</f>
        <v>94</v>
      </c>
      <c r="C117" s="31">
        <f>C51+C64+C71+C81+C83+C97+C102</f>
        <v>36.5</v>
      </c>
      <c r="D117" s="9">
        <f t="shared" si="1"/>
        <v>38.82978723404255</v>
      </c>
    </row>
    <row r="118" spans="1:4" ht="13.5" customHeight="1">
      <c r="A118" s="7" t="s">
        <v>52</v>
      </c>
      <c r="B118" s="8">
        <v>5</v>
      </c>
      <c r="C118" s="8">
        <v>5</v>
      </c>
      <c r="D118" s="9">
        <f t="shared" si="1"/>
        <v>100</v>
      </c>
    </row>
    <row r="119" spans="1:4" ht="13.5" customHeight="1">
      <c r="A119" s="7" t="s">
        <v>53</v>
      </c>
      <c r="B119" s="8">
        <v>1</v>
      </c>
      <c r="C119" s="8">
        <v>1</v>
      </c>
      <c r="D119" s="9">
        <f t="shared" si="1"/>
        <v>100</v>
      </c>
    </row>
    <row r="120" spans="1:4" ht="13.5" customHeight="1">
      <c r="A120" s="7" t="s">
        <v>54</v>
      </c>
      <c r="B120" s="8">
        <v>7</v>
      </c>
      <c r="C120" s="8">
        <v>6</v>
      </c>
      <c r="D120" s="9">
        <f t="shared" si="1"/>
        <v>85.71428571428571</v>
      </c>
    </row>
    <row r="122" spans="1:4" ht="15">
      <c r="A122" s="47" t="s">
        <v>30</v>
      </c>
      <c r="B122" s="47"/>
      <c r="C122" s="47"/>
      <c r="D122" s="47"/>
    </row>
  </sheetData>
  <sheetProtection/>
  <mergeCells count="3">
    <mergeCell ref="A8:D8"/>
    <mergeCell ref="A9:D9"/>
    <mergeCell ref="A122:D122"/>
  </mergeCells>
  <printOptions/>
  <pageMargins left="0.7086614173228347" right="0.5118110236220472" top="0.35433070866141736" bottom="0.35433070866141736" header="0.31496062992125984" footer="0.31496062992125984"/>
  <pageSetup horizontalDpi="180" verticalDpi="180" orientation="landscape" paperSize="9" scale="92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2" sqref="A2:D2"/>
    </sheetView>
  </sheetViews>
  <sheetFormatPr defaultColWidth="8.8515625" defaultRowHeight="15"/>
  <cols>
    <col min="1" max="1" width="60.28125" style="1" bestFit="1" customWidth="1"/>
    <col min="2" max="2" width="14.421875" style="1" customWidth="1"/>
    <col min="3" max="3" width="16.57421875" style="1" customWidth="1"/>
    <col min="4" max="4" width="18.140625" style="1" customWidth="1"/>
    <col min="5" max="5" width="17.00390625" style="1" customWidth="1"/>
    <col min="6" max="6" width="12.00390625" style="25" customWidth="1"/>
    <col min="7" max="16384" width="8.8515625" style="1" customWidth="1"/>
  </cols>
  <sheetData>
    <row r="1" spans="1:4" ht="15">
      <c r="A1" s="47" t="s">
        <v>29</v>
      </c>
      <c r="B1" s="47"/>
      <c r="C1" s="47"/>
      <c r="D1" s="47"/>
    </row>
    <row r="2" spans="1:4" ht="15">
      <c r="A2" s="47" t="s">
        <v>34</v>
      </c>
      <c r="B2" s="47"/>
      <c r="C2" s="47"/>
      <c r="D2" s="47"/>
    </row>
    <row r="4" spans="4:6" ht="15">
      <c r="D4" s="3"/>
      <c r="F4" s="3" t="s">
        <v>16</v>
      </c>
    </row>
    <row r="5" spans="1:6" s="2" customFormat="1" ht="45">
      <c r="A5" s="4" t="s">
        <v>0</v>
      </c>
      <c r="B5" s="5" t="s">
        <v>35</v>
      </c>
      <c r="C5" s="5" t="s">
        <v>36</v>
      </c>
      <c r="D5" s="5" t="s">
        <v>37</v>
      </c>
      <c r="E5" s="26" t="s">
        <v>45</v>
      </c>
      <c r="F5" s="28" t="s">
        <v>46</v>
      </c>
    </row>
    <row r="6" spans="1:6" s="2" customFormat="1" ht="15">
      <c r="A6" s="6" t="s">
        <v>14</v>
      </c>
      <c r="B6" s="5"/>
      <c r="C6" s="5"/>
      <c r="D6" s="5"/>
      <c r="E6" s="4"/>
      <c r="F6" s="27"/>
    </row>
    <row r="7" spans="1:6" ht="15">
      <c r="A7" s="7" t="s">
        <v>1</v>
      </c>
      <c r="B7" s="8">
        <v>1152</v>
      </c>
      <c r="C7" s="8">
        <v>319.3</v>
      </c>
      <c r="D7" s="9">
        <f>C7/B7*100</f>
        <v>27.717013888888893</v>
      </c>
      <c r="E7" s="8">
        <v>534.3</v>
      </c>
      <c r="F7" s="9">
        <f>C7/E7*100</f>
        <v>59.76043421298897</v>
      </c>
    </row>
    <row r="8" spans="1:6" ht="15">
      <c r="A8" s="7" t="s">
        <v>2</v>
      </c>
      <c r="B8" s="8">
        <f>B9+B10</f>
        <v>28</v>
      </c>
      <c r="C8" s="8">
        <f>C9+C10</f>
        <v>92.2</v>
      </c>
      <c r="D8" s="9">
        <f aca="true" t="shared" si="0" ref="D8:D54">C8/B8*100</f>
        <v>329.28571428571433</v>
      </c>
      <c r="E8" s="8">
        <f>E9+E10</f>
        <v>134.20000000000002</v>
      </c>
      <c r="F8" s="9">
        <f aca="true" t="shared" si="1" ref="F8:F54">C8/E8*100</f>
        <v>68.70342771982115</v>
      </c>
    </row>
    <row r="9" spans="1:6" ht="15">
      <c r="A9" s="7" t="s">
        <v>3</v>
      </c>
      <c r="B9" s="8">
        <v>0</v>
      </c>
      <c r="C9" s="8">
        <v>0.7</v>
      </c>
      <c r="D9" s="13" t="e">
        <f t="shared" si="0"/>
        <v>#DIV/0!</v>
      </c>
      <c r="E9" s="8">
        <v>0.8</v>
      </c>
      <c r="F9" s="9">
        <f t="shared" si="1"/>
        <v>87.49999999999999</v>
      </c>
    </row>
    <row r="10" spans="1:6" ht="15">
      <c r="A10" s="7" t="s">
        <v>4</v>
      </c>
      <c r="B10" s="8">
        <v>28</v>
      </c>
      <c r="C10" s="8">
        <v>91.5</v>
      </c>
      <c r="D10" s="9">
        <f t="shared" si="0"/>
        <v>326.7857142857143</v>
      </c>
      <c r="E10" s="8">
        <v>133.4</v>
      </c>
      <c r="F10" s="9">
        <f t="shared" si="1"/>
        <v>68.59070464767616</v>
      </c>
    </row>
    <row r="11" spans="1:6" ht="30">
      <c r="A11" s="10" t="s">
        <v>5</v>
      </c>
      <c r="B11" s="11">
        <f>B12+B13</f>
        <v>304.5</v>
      </c>
      <c r="C11" s="11">
        <f>C12+C13</f>
        <v>109.5</v>
      </c>
      <c r="D11" s="12">
        <f t="shared" si="0"/>
        <v>35.960591133004925</v>
      </c>
      <c r="E11" s="11">
        <f>E12+E13</f>
        <v>195.4</v>
      </c>
      <c r="F11" s="9">
        <f t="shared" si="1"/>
        <v>56.038894575230294</v>
      </c>
    </row>
    <row r="12" spans="1:6" ht="15">
      <c r="A12" s="7" t="s">
        <v>6</v>
      </c>
      <c r="B12" s="8">
        <v>4.5</v>
      </c>
      <c r="C12" s="8">
        <v>9.7</v>
      </c>
      <c r="D12" s="9">
        <f t="shared" si="0"/>
        <v>215.55555555555554</v>
      </c>
      <c r="E12" s="8">
        <v>6.3</v>
      </c>
      <c r="F12" s="9">
        <f t="shared" si="1"/>
        <v>153.96825396825395</v>
      </c>
    </row>
    <row r="13" spans="1:6" ht="15">
      <c r="A13" s="7" t="s">
        <v>7</v>
      </c>
      <c r="B13" s="8">
        <v>300</v>
      </c>
      <c r="C13" s="8">
        <v>99.8</v>
      </c>
      <c r="D13" s="9">
        <f t="shared" si="0"/>
        <v>33.266666666666666</v>
      </c>
      <c r="E13" s="8">
        <v>189.1</v>
      </c>
      <c r="F13" s="9">
        <f t="shared" si="1"/>
        <v>52.77630883130618</v>
      </c>
    </row>
    <row r="14" spans="1:6" ht="15">
      <c r="A14" s="7" t="s">
        <v>8</v>
      </c>
      <c r="B14" s="8">
        <v>0</v>
      </c>
      <c r="C14" s="8">
        <v>7.8</v>
      </c>
      <c r="D14" s="13" t="e">
        <f t="shared" si="0"/>
        <v>#DIV/0!</v>
      </c>
      <c r="E14" s="8">
        <v>25.5</v>
      </c>
      <c r="F14" s="9">
        <f t="shared" si="1"/>
        <v>30.588235294117645</v>
      </c>
    </row>
    <row r="15" spans="1:6" ht="15">
      <c r="A15" s="7" t="s">
        <v>33</v>
      </c>
      <c r="B15" s="8">
        <v>1</v>
      </c>
      <c r="C15" s="8">
        <v>0.3</v>
      </c>
      <c r="D15" s="24">
        <f t="shared" si="0"/>
        <v>30</v>
      </c>
      <c r="E15" s="8">
        <v>0.4</v>
      </c>
      <c r="F15" s="9">
        <f t="shared" si="1"/>
        <v>74.99999999999999</v>
      </c>
    </row>
    <row r="16" spans="1:6" ht="15">
      <c r="A16" s="14" t="s">
        <v>9</v>
      </c>
      <c r="B16" s="8">
        <f>B7+B8+B11+B14+B15</f>
        <v>1485.5</v>
      </c>
      <c r="C16" s="8">
        <f>C7+C8+C11+C14+C15</f>
        <v>529.0999999999999</v>
      </c>
      <c r="D16" s="9">
        <f t="shared" si="0"/>
        <v>35.61763715920565</v>
      </c>
      <c r="E16" s="8">
        <f>E7+E8+E11+E14+E15</f>
        <v>889.8</v>
      </c>
      <c r="F16" s="9">
        <f t="shared" si="1"/>
        <v>59.46280062935491</v>
      </c>
    </row>
    <row r="17" spans="1:6" ht="15">
      <c r="A17" s="7" t="s">
        <v>10</v>
      </c>
      <c r="B17" s="8">
        <f>B18+B19+B20</f>
        <v>117.8</v>
      </c>
      <c r="C17" s="8">
        <f>C18+C19+C20</f>
        <v>109.8</v>
      </c>
      <c r="D17" s="9">
        <f t="shared" si="0"/>
        <v>93.2088285229202</v>
      </c>
      <c r="E17" s="8">
        <f>E18+E19+E20</f>
        <v>569.1</v>
      </c>
      <c r="F17" s="9">
        <f t="shared" si="1"/>
        <v>19.293621507643646</v>
      </c>
    </row>
    <row r="18" spans="1:6" ht="15">
      <c r="A18" s="7" t="s">
        <v>11</v>
      </c>
      <c r="B18" s="8">
        <v>0</v>
      </c>
      <c r="C18" s="8">
        <v>0</v>
      </c>
      <c r="D18" s="13" t="e">
        <f t="shared" si="0"/>
        <v>#DIV/0!</v>
      </c>
      <c r="E18" s="8">
        <v>84</v>
      </c>
      <c r="F18" s="9">
        <f t="shared" si="1"/>
        <v>0</v>
      </c>
    </row>
    <row r="19" spans="1:6" ht="15">
      <c r="A19" s="7" t="s">
        <v>12</v>
      </c>
      <c r="B19" s="8">
        <v>90.5</v>
      </c>
      <c r="C19" s="8">
        <v>90.5</v>
      </c>
      <c r="D19" s="9">
        <f t="shared" si="0"/>
        <v>100</v>
      </c>
      <c r="E19" s="8">
        <v>472.1</v>
      </c>
      <c r="F19" s="9">
        <f t="shared" si="1"/>
        <v>19.169667443338277</v>
      </c>
    </row>
    <row r="20" spans="1:6" ht="15">
      <c r="A20" s="7" t="s">
        <v>13</v>
      </c>
      <c r="B20" s="8">
        <v>27.3</v>
      </c>
      <c r="C20" s="8">
        <v>19.3</v>
      </c>
      <c r="D20" s="9">
        <f t="shared" si="0"/>
        <v>70.6959706959707</v>
      </c>
      <c r="E20" s="8">
        <v>13</v>
      </c>
      <c r="F20" s="9">
        <f t="shared" si="1"/>
        <v>148.46153846153845</v>
      </c>
    </row>
    <row r="21" spans="1:6" ht="30">
      <c r="A21" s="10" t="s">
        <v>31</v>
      </c>
      <c r="B21" s="11">
        <v>150</v>
      </c>
      <c r="C21" s="11">
        <v>223.9</v>
      </c>
      <c r="D21" s="12">
        <f t="shared" si="0"/>
        <v>149.26666666666668</v>
      </c>
      <c r="E21" s="8">
        <v>88.8</v>
      </c>
      <c r="F21" s="9">
        <f t="shared" si="1"/>
        <v>252.13963963963963</v>
      </c>
    </row>
    <row r="22" spans="1:6" ht="15">
      <c r="A22" s="15" t="s">
        <v>15</v>
      </c>
      <c r="B22" s="21">
        <f>B16+B17+B21</f>
        <v>1753.3</v>
      </c>
      <c r="C22" s="21">
        <f>C16+C17+C21</f>
        <v>862.7999999999998</v>
      </c>
      <c r="D22" s="22">
        <f t="shared" si="0"/>
        <v>49.210061027776185</v>
      </c>
      <c r="E22" s="21">
        <f>E16+E17+E21</f>
        <v>1547.7</v>
      </c>
      <c r="F22" s="22">
        <f t="shared" si="1"/>
        <v>55.74723783679006</v>
      </c>
    </row>
    <row r="23" spans="1:6" ht="15">
      <c r="A23" s="16" t="s">
        <v>17</v>
      </c>
      <c r="B23" s="8"/>
      <c r="C23" s="8"/>
      <c r="D23" s="9"/>
      <c r="E23" s="8"/>
      <c r="F23" s="9"/>
    </row>
    <row r="24" spans="1:6" ht="15">
      <c r="A24" s="7" t="s">
        <v>18</v>
      </c>
      <c r="B24" s="8">
        <v>766</v>
      </c>
      <c r="C24" s="8">
        <v>336.2</v>
      </c>
      <c r="D24" s="9">
        <f t="shared" si="0"/>
        <v>43.89033942558746</v>
      </c>
      <c r="E24" s="8">
        <v>352.9</v>
      </c>
      <c r="F24" s="9">
        <f t="shared" si="1"/>
        <v>95.2677812411448</v>
      </c>
    </row>
    <row r="25" spans="1:6" ht="15">
      <c r="A25" s="7" t="s">
        <v>19</v>
      </c>
      <c r="B25" s="8">
        <v>425</v>
      </c>
      <c r="C25" s="8">
        <v>208.1</v>
      </c>
      <c r="D25" s="9">
        <f t="shared" si="0"/>
        <v>48.96470588235294</v>
      </c>
      <c r="E25" s="8">
        <v>201.4</v>
      </c>
      <c r="F25" s="9">
        <f t="shared" si="1"/>
        <v>103.32671300893743</v>
      </c>
    </row>
    <row r="26" spans="1:6" ht="15">
      <c r="A26" s="7" t="s">
        <v>20</v>
      </c>
      <c r="B26" s="8">
        <v>112</v>
      </c>
      <c r="C26" s="8">
        <v>54.5</v>
      </c>
      <c r="D26" s="9">
        <f t="shared" si="0"/>
        <v>48.660714285714285</v>
      </c>
      <c r="E26" s="8">
        <v>33.4</v>
      </c>
      <c r="F26" s="9">
        <f t="shared" si="1"/>
        <v>163.17365269461078</v>
      </c>
    </row>
    <row r="27" spans="1:6" ht="15">
      <c r="A27" s="7" t="s">
        <v>21</v>
      </c>
      <c r="B27" s="8">
        <v>145</v>
      </c>
      <c r="C27" s="8">
        <v>54.4</v>
      </c>
      <c r="D27" s="9">
        <f t="shared" si="0"/>
        <v>37.51724137931035</v>
      </c>
      <c r="E27" s="8">
        <v>24.1</v>
      </c>
      <c r="F27" s="9">
        <f t="shared" si="1"/>
        <v>225.72614107883817</v>
      </c>
    </row>
    <row r="28" spans="1:6" ht="15">
      <c r="A28" s="7" t="s">
        <v>23</v>
      </c>
      <c r="B28" s="8">
        <v>12.1</v>
      </c>
      <c r="C28" s="8">
        <v>0.3</v>
      </c>
      <c r="D28" s="9">
        <f t="shared" si="0"/>
        <v>2.479338842975207</v>
      </c>
      <c r="E28" s="8">
        <v>2.3</v>
      </c>
      <c r="F28" s="9">
        <f t="shared" si="1"/>
        <v>13.043478260869565</v>
      </c>
    </row>
    <row r="29" spans="1:6" ht="15">
      <c r="A29" s="7" t="s">
        <v>22</v>
      </c>
      <c r="B29" s="8">
        <v>25</v>
      </c>
      <c r="C29" s="8">
        <v>0</v>
      </c>
      <c r="D29" s="9">
        <f t="shared" si="0"/>
        <v>0</v>
      </c>
      <c r="E29" s="8">
        <v>39.5</v>
      </c>
      <c r="F29" s="9">
        <f t="shared" si="1"/>
        <v>0</v>
      </c>
    </row>
    <row r="30" spans="1:6" ht="15">
      <c r="A30" s="7" t="s">
        <v>25</v>
      </c>
      <c r="B30" s="8">
        <v>90.5</v>
      </c>
      <c r="C30" s="8">
        <v>22.2</v>
      </c>
      <c r="D30" s="9">
        <f t="shared" si="0"/>
        <v>24.53038674033149</v>
      </c>
      <c r="E30" s="8">
        <v>17.1</v>
      </c>
      <c r="F30" s="9">
        <f t="shared" si="1"/>
        <v>129.82456140350877</v>
      </c>
    </row>
    <row r="31" spans="1:6" ht="15">
      <c r="A31" s="7" t="s">
        <v>19</v>
      </c>
      <c r="B31" s="8">
        <v>55.5</v>
      </c>
      <c r="C31" s="8">
        <v>16.5</v>
      </c>
      <c r="D31" s="9">
        <f t="shared" si="0"/>
        <v>29.72972972972973</v>
      </c>
      <c r="E31" s="8">
        <v>12</v>
      </c>
      <c r="F31" s="9">
        <f t="shared" si="1"/>
        <v>137.5</v>
      </c>
    </row>
    <row r="32" spans="1:6" ht="15">
      <c r="A32" s="7" t="s">
        <v>20</v>
      </c>
      <c r="B32" s="8">
        <v>14</v>
      </c>
      <c r="C32" s="8">
        <v>4.3</v>
      </c>
      <c r="D32" s="9">
        <f t="shared" si="0"/>
        <v>30.71428571428571</v>
      </c>
      <c r="E32" s="8">
        <v>2.6</v>
      </c>
      <c r="F32" s="9">
        <f t="shared" si="1"/>
        <v>165.3846153846154</v>
      </c>
    </row>
    <row r="33" spans="1:6" ht="15">
      <c r="A33" s="7" t="s">
        <v>21</v>
      </c>
      <c r="B33" s="8">
        <v>4</v>
      </c>
      <c r="C33" s="8">
        <v>0</v>
      </c>
      <c r="D33" s="9">
        <f t="shared" si="0"/>
        <v>0</v>
      </c>
      <c r="E33" s="8">
        <v>1</v>
      </c>
      <c r="F33" s="9">
        <f t="shared" si="1"/>
        <v>0</v>
      </c>
    </row>
    <row r="34" spans="1:6" ht="15">
      <c r="A34" s="7" t="s">
        <v>22</v>
      </c>
      <c r="B34" s="8">
        <v>0</v>
      </c>
      <c r="C34" s="8">
        <v>0</v>
      </c>
      <c r="D34" s="13" t="e">
        <f t="shared" si="0"/>
        <v>#DIV/0!</v>
      </c>
      <c r="E34" s="8">
        <v>0</v>
      </c>
      <c r="F34" s="13" t="e">
        <f t="shared" si="1"/>
        <v>#DIV/0!</v>
      </c>
    </row>
    <row r="35" spans="1:6" ht="15">
      <c r="A35" s="7" t="s">
        <v>24</v>
      </c>
      <c r="B35" s="8">
        <v>39</v>
      </c>
      <c r="C35" s="8">
        <v>4.4</v>
      </c>
      <c r="D35" s="9">
        <f t="shared" si="0"/>
        <v>11.282051282051283</v>
      </c>
      <c r="E35" s="8">
        <v>10</v>
      </c>
      <c r="F35" s="9">
        <f t="shared" si="1"/>
        <v>44.00000000000001</v>
      </c>
    </row>
    <row r="36" spans="1:6" ht="15">
      <c r="A36" s="7" t="s">
        <v>38</v>
      </c>
      <c r="B36" s="8">
        <v>0</v>
      </c>
      <c r="C36" s="8">
        <v>0</v>
      </c>
      <c r="D36" s="13" t="e">
        <f t="shared" si="0"/>
        <v>#DIV/0!</v>
      </c>
      <c r="E36" s="8">
        <v>0</v>
      </c>
      <c r="F36" s="13" t="e">
        <f t="shared" si="1"/>
        <v>#DIV/0!</v>
      </c>
    </row>
    <row r="37" spans="1:6" ht="15">
      <c r="A37" s="7" t="s">
        <v>39</v>
      </c>
      <c r="B37" s="8">
        <v>218.6</v>
      </c>
      <c r="C37" s="8">
        <v>64.8</v>
      </c>
      <c r="D37" s="9">
        <f t="shared" si="0"/>
        <v>29.643183897529735</v>
      </c>
      <c r="E37" s="8">
        <v>92.9</v>
      </c>
      <c r="F37" s="9">
        <f t="shared" si="1"/>
        <v>69.75242195909578</v>
      </c>
    </row>
    <row r="38" spans="1:6" ht="15" hidden="1">
      <c r="A38" s="7" t="s">
        <v>26</v>
      </c>
      <c r="B38" s="8"/>
      <c r="C38" s="8"/>
      <c r="D38" s="9"/>
      <c r="E38" s="8"/>
      <c r="F38" s="9" t="e">
        <f t="shared" si="1"/>
        <v>#DIV/0!</v>
      </c>
    </row>
    <row r="39" spans="1:6" ht="15">
      <c r="A39" s="7" t="s">
        <v>40</v>
      </c>
      <c r="B39" s="8">
        <v>0</v>
      </c>
      <c r="C39" s="8">
        <v>0</v>
      </c>
      <c r="D39" s="13" t="e">
        <f t="shared" si="0"/>
        <v>#DIV/0!</v>
      </c>
      <c r="E39" s="8">
        <v>0</v>
      </c>
      <c r="F39" s="13" t="e">
        <f t="shared" si="1"/>
        <v>#DIV/0!</v>
      </c>
    </row>
    <row r="40" spans="1:6" ht="30">
      <c r="A40" s="10" t="s">
        <v>41</v>
      </c>
      <c r="B40" s="11">
        <v>786.3</v>
      </c>
      <c r="C40" s="11">
        <v>333.3</v>
      </c>
      <c r="D40" s="12">
        <f t="shared" si="0"/>
        <v>42.38840137352156</v>
      </c>
      <c r="E40" s="8">
        <v>366.3</v>
      </c>
      <c r="F40" s="9">
        <f t="shared" si="1"/>
        <v>90.990990990991</v>
      </c>
    </row>
    <row r="41" spans="1:6" ht="15">
      <c r="A41" s="7" t="s">
        <v>19</v>
      </c>
      <c r="B41" s="8">
        <v>371.5</v>
      </c>
      <c r="C41" s="8">
        <v>185.9</v>
      </c>
      <c r="D41" s="9">
        <f t="shared" si="0"/>
        <v>50.040376850605654</v>
      </c>
      <c r="E41" s="8">
        <v>140.8</v>
      </c>
      <c r="F41" s="9">
        <f t="shared" si="1"/>
        <v>132.03125</v>
      </c>
    </row>
    <row r="42" spans="1:6" ht="15">
      <c r="A42" s="7" t="s">
        <v>20</v>
      </c>
      <c r="B42" s="8">
        <v>94</v>
      </c>
      <c r="C42" s="8">
        <v>47.4</v>
      </c>
      <c r="D42" s="9">
        <f t="shared" si="0"/>
        <v>50.42553191489362</v>
      </c>
      <c r="E42" s="8">
        <v>28.4</v>
      </c>
      <c r="F42" s="9">
        <f t="shared" si="1"/>
        <v>166.90140845070422</v>
      </c>
    </row>
    <row r="43" spans="1:6" ht="15">
      <c r="A43" s="7" t="s">
        <v>21</v>
      </c>
      <c r="B43" s="8">
        <v>160</v>
      </c>
      <c r="C43" s="8">
        <v>78</v>
      </c>
      <c r="D43" s="9">
        <f t="shared" si="0"/>
        <v>48.75</v>
      </c>
      <c r="E43" s="8">
        <v>111.1</v>
      </c>
      <c r="F43" s="9">
        <f t="shared" si="1"/>
        <v>70.20702070207021</v>
      </c>
    </row>
    <row r="44" spans="1:6" ht="15">
      <c r="A44" s="7" t="s">
        <v>23</v>
      </c>
      <c r="B44" s="8">
        <v>2</v>
      </c>
      <c r="C44" s="8">
        <v>0.4</v>
      </c>
      <c r="D44" s="9">
        <f t="shared" si="0"/>
        <v>20</v>
      </c>
      <c r="E44" s="8">
        <v>0.6</v>
      </c>
      <c r="F44" s="9">
        <f t="shared" si="1"/>
        <v>66.66666666666667</v>
      </c>
    </row>
    <row r="45" spans="1:6" ht="15">
      <c r="A45" s="7" t="s">
        <v>22</v>
      </c>
      <c r="B45" s="8">
        <v>91</v>
      </c>
      <c r="C45" s="8">
        <v>0</v>
      </c>
      <c r="D45" s="9">
        <f t="shared" si="0"/>
        <v>0</v>
      </c>
      <c r="E45" s="8">
        <v>31.8</v>
      </c>
      <c r="F45" s="9">
        <f t="shared" si="1"/>
        <v>0</v>
      </c>
    </row>
    <row r="46" spans="1:6" ht="15">
      <c r="A46" s="7" t="s">
        <v>42</v>
      </c>
      <c r="B46" s="8">
        <v>0.5</v>
      </c>
      <c r="C46" s="8">
        <v>0.3</v>
      </c>
      <c r="D46" s="9">
        <f t="shared" si="0"/>
        <v>60</v>
      </c>
      <c r="E46" s="8">
        <v>0</v>
      </c>
      <c r="F46" s="13" t="e">
        <f t="shared" si="1"/>
        <v>#DIV/0!</v>
      </c>
    </row>
    <row r="47" spans="1:6" ht="15">
      <c r="A47" s="7" t="s">
        <v>43</v>
      </c>
      <c r="B47" s="8">
        <v>2.4</v>
      </c>
      <c r="C47" s="8">
        <v>2.4</v>
      </c>
      <c r="D47" s="9">
        <f t="shared" si="0"/>
        <v>100</v>
      </c>
      <c r="E47" s="8">
        <v>349.4</v>
      </c>
      <c r="F47" s="9">
        <f t="shared" si="1"/>
        <v>0.6868918145392101</v>
      </c>
    </row>
    <row r="48" spans="1:6" ht="15">
      <c r="A48" s="7" t="s">
        <v>44</v>
      </c>
      <c r="B48" s="8">
        <v>189</v>
      </c>
      <c r="C48" s="8">
        <v>63</v>
      </c>
      <c r="D48" s="9">
        <f t="shared" si="0"/>
        <v>33.33333333333333</v>
      </c>
      <c r="E48" s="8">
        <v>0</v>
      </c>
      <c r="F48" s="13" t="e">
        <f t="shared" si="1"/>
        <v>#DIV/0!</v>
      </c>
    </row>
    <row r="49" spans="1:6" ht="15">
      <c r="A49" s="15" t="s">
        <v>27</v>
      </c>
      <c r="B49" s="21">
        <f>B24+B30+B35+B37+B39+B40+B46+B47+B48</f>
        <v>2092.3</v>
      </c>
      <c r="C49" s="21">
        <f>C24+C30+C35+C37+C39+C40+C46+C47+C48</f>
        <v>826.5999999999999</v>
      </c>
      <c r="D49" s="22">
        <f t="shared" si="0"/>
        <v>39.50676289251063</v>
      </c>
      <c r="E49" s="21">
        <f>E24+E30+E35+E37+E39+E40+E46+E47+E48</f>
        <v>1188.6</v>
      </c>
      <c r="F49" s="22">
        <f t="shared" si="1"/>
        <v>69.54400134612149</v>
      </c>
    </row>
    <row r="50" spans="1:6" ht="15">
      <c r="A50" s="17" t="s">
        <v>28</v>
      </c>
      <c r="B50" s="7"/>
      <c r="C50" s="7"/>
      <c r="D50" s="9"/>
      <c r="E50" s="8"/>
      <c r="F50" s="9"/>
    </row>
    <row r="51" spans="1:6" ht="15">
      <c r="A51" s="7" t="s">
        <v>19</v>
      </c>
      <c r="B51" s="8">
        <f aca="true" t="shared" si="2" ref="B51:C53">B25+B31+B41</f>
        <v>852</v>
      </c>
      <c r="C51" s="8">
        <f t="shared" si="2"/>
        <v>410.5</v>
      </c>
      <c r="D51" s="9">
        <f t="shared" si="0"/>
        <v>48.18075117370892</v>
      </c>
      <c r="E51" s="8">
        <f>E25+E31+E41</f>
        <v>354.20000000000005</v>
      </c>
      <c r="F51" s="9">
        <f t="shared" si="1"/>
        <v>115.89497459062675</v>
      </c>
    </row>
    <row r="52" spans="1:6" ht="15">
      <c r="A52" s="7" t="s">
        <v>20</v>
      </c>
      <c r="B52" s="8">
        <f t="shared" si="2"/>
        <v>220</v>
      </c>
      <c r="C52" s="8">
        <f t="shared" si="2"/>
        <v>106.19999999999999</v>
      </c>
      <c r="D52" s="9">
        <f t="shared" si="0"/>
        <v>48.272727272727266</v>
      </c>
      <c r="E52" s="8">
        <f>E26+E32+E42</f>
        <v>64.4</v>
      </c>
      <c r="F52" s="9">
        <f t="shared" si="1"/>
        <v>164.9068322981366</v>
      </c>
    </row>
    <row r="53" spans="1:6" ht="15">
      <c r="A53" s="7" t="s">
        <v>21</v>
      </c>
      <c r="B53" s="8">
        <f t="shared" si="2"/>
        <v>309</v>
      </c>
      <c r="C53" s="8">
        <f t="shared" si="2"/>
        <v>132.4</v>
      </c>
      <c r="D53" s="9">
        <f t="shared" si="0"/>
        <v>42.84789644012945</v>
      </c>
      <c r="E53" s="8">
        <f>E27+E33+E43</f>
        <v>136.2</v>
      </c>
      <c r="F53" s="9">
        <f t="shared" si="1"/>
        <v>97.2099853157122</v>
      </c>
    </row>
    <row r="54" spans="1:6" ht="15">
      <c r="A54" s="7" t="s">
        <v>22</v>
      </c>
      <c r="B54" s="8">
        <f>B29+B34+B45</f>
        <v>116</v>
      </c>
      <c r="C54" s="8">
        <f>C29+C34+C45</f>
        <v>0</v>
      </c>
      <c r="D54" s="9">
        <f t="shared" si="0"/>
        <v>0</v>
      </c>
      <c r="E54" s="8">
        <f>E29+E34+E45</f>
        <v>71.3</v>
      </c>
      <c r="F54" s="9">
        <f t="shared" si="1"/>
        <v>0</v>
      </c>
    </row>
    <row r="55" spans="1:4" ht="15" hidden="1">
      <c r="A55" s="18">
        <v>212</v>
      </c>
      <c r="B55" s="19">
        <v>5</v>
      </c>
      <c r="C55" s="19">
        <v>5</v>
      </c>
      <c r="D55" s="20"/>
    </row>
    <row r="56" spans="1:4" ht="15" hidden="1">
      <c r="A56" s="18">
        <v>221</v>
      </c>
      <c r="B56" s="19">
        <v>21</v>
      </c>
      <c r="C56" s="19">
        <v>21</v>
      </c>
      <c r="D56" s="20"/>
    </row>
    <row r="57" spans="1:4" ht="15" hidden="1">
      <c r="A57" s="18">
        <v>226</v>
      </c>
      <c r="B57" s="19">
        <f>217+31</f>
        <v>248</v>
      </c>
      <c r="C57" s="19">
        <f>216+31</f>
        <v>247</v>
      </c>
      <c r="D57" s="20"/>
    </row>
    <row r="58" spans="1:4" ht="15" hidden="1">
      <c r="A58" s="18">
        <v>222</v>
      </c>
      <c r="B58" s="19">
        <v>25</v>
      </c>
      <c r="C58" s="19">
        <v>25</v>
      </c>
      <c r="D58" s="20"/>
    </row>
    <row r="59" spans="1:4" ht="15" hidden="1">
      <c r="A59" s="18">
        <v>290</v>
      </c>
      <c r="B59" s="19">
        <f>89+16</f>
        <v>105</v>
      </c>
      <c r="C59" s="19">
        <f>76+12</f>
        <v>88</v>
      </c>
      <c r="D59" s="20"/>
    </row>
    <row r="60" spans="1:4" ht="15" hidden="1">
      <c r="A60" s="18">
        <v>340</v>
      </c>
      <c r="B60" s="19">
        <f>136+19</f>
        <v>155</v>
      </c>
      <c r="C60" s="19">
        <f>136+19</f>
        <v>155</v>
      </c>
      <c r="D60" s="20"/>
    </row>
    <row r="61" spans="1:4" ht="15" hidden="1">
      <c r="A61" s="18">
        <v>251</v>
      </c>
      <c r="B61" s="19">
        <v>517</v>
      </c>
      <c r="C61" s="19">
        <v>517</v>
      </c>
      <c r="D61" s="20"/>
    </row>
    <row r="62" spans="1:4" ht="15" hidden="1">
      <c r="A62" s="18">
        <v>262</v>
      </c>
      <c r="B62" s="19">
        <v>1246</v>
      </c>
      <c r="C62" s="19">
        <v>1228</v>
      </c>
      <c r="D62" s="20"/>
    </row>
    <row r="63" spans="1:4" ht="15" hidden="1">
      <c r="A63" s="18">
        <v>241</v>
      </c>
      <c r="B63" s="19">
        <v>744</v>
      </c>
      <c r="C63" s="19">
        <v>247</v>
      </c>
      <c r="D63" s="20"/>
    </row>
    <row r="64" spans="1:4" ht="15" hidden="1">
      <c r="A64" s="18">
        <v>225</v>
      </c>
      <c r="B64" s="19">
        <v>99</v>
      </c>
      <c r="C64" s="19">
        <v>53</v>
      </c>
      <c r="D64" s="20"/>
    </row>
    <row r="65" spans="1:4" ht="15.75">
      <c r="A65" s="23" t="s">
        <v>32</v>
      </c>
      <c r="B65" s="19"/>
      <c r="C65" s="19"/>
      <c r="D65" s="20"/>
    </row>
    <row r="67" spans="1:4" ht="15">
      <c r="A67" s="47" t="s">
        <v>30</v>
      </c>
      <c r="B67" s="47"/>
      <c r="C67" s="47"/>
      <c r="D67" s="47"/>
    </row>
  </sheetData>
  <sheetProtection/>
  <mergeCells count="3">
    <mergeCell ref="A1:D1"/>
    <mergeCell ref="A2:D2"/>
    <mergeCell ref="A67:D67"/>
  </mergeCells>
  <printOptions/>
  <pageMargins left="0.5118110236220472" right="0.31496062992125984" top="0.15748031496062992" bottom="0.1968503937007874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2013-12-03T00:45:21Z</dcterms:modified>
  <cp:category/>
  <cp:version/>
  <cp:contentType/>
  <cp:contentStatus/>
</cp:coreProperties>
</file>